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EXANDR\Desktop\ИПР-2023\ИПР_30.06.2023\9.Локальные сметы\14)N_Р1.2.23.2023\"/>
    </mc:Choice>
  </mc:AlternateContent>
  <bookViews>
    <workbookView xWindow="0" yWindow="0" windowWidth="16965" windowHeight="11400"/>
  </bookViews>
  <sheets>
    <sheet name="Смета по ТСН-2001" sheetId="6" r:id="rId1"/>
    <sheet name="Source" sheetId="1" r:id="rId2"/>
    <sheet name="SourceObSm" sheetId="2" r:id="rId3"/>
    <sheet name="SmtRes" sheetId="3" r:id="rId4"/>
    <sheet name="EtalonRes" sheetId="4" r:id="rId5"/>
    <sheet name="SrcKA" sheetId="5" r:id="rId6"/>
  </sheets>
  <definedNames>
    <definedName name="_xlnm.Print_Titles" localSheetId="0">'Смета по ТСН-2001'!$33:$33</definedName>
    <definedName name="_xlnm.Print_Area" localSheetId="0">'Смета по ТСН-2001'!$A$1:$K$328</definedName>
  </definedNames>
  <calcPr calcId="162913"/>
</workbook>
</file>

<file path=xl/calcChain.xml><?xml version="1.0" encoding="utf-8"?>
<calcChain xmlns="http://schemas.openxmlformats.org/spreadsheetml/2006/main">
  <c r="J318" i="6" l="1"/>
  <c r="J319" i="6" s="1"/>
  <c r="J320" i="6" s="1"/>
  <c r="H326" i="6" l="1"/>
  <c r="H323" i="6"/>
  <c r="C326" i="6"/>
  <c r="C323" i="6"/>
  <c r="A315" i="6"/>
  <c r="J30" i="6"/>
  <c r="J28" i="6"/>
  <c r="J27" i="6"/>
  <c r="J26" i="6"/>
  <c r="J25" i="6"/>
  <c r="J24" i="6"/>
  <c r="I30" i="6"/>
  <c r="H313" i="6"/>
  <c r="J313" i="6"/>
  <c r="H312" i="6"/>
  <c r="J312" i="6"/>
  <c r="AL311" i="6"/>
  <c r="A311" i="6"/>
  <c r="H309" i="6"/>
  <c r="J309" i="6"/>
  <c r="H308" i="6"/>
  <c r="J308" i="6"/>
  <c r="A307" i="6"/>
  <c r="Z305" i="6"/>
  <c r="Y305" i="6"/>
  <c r="X305" i="6"/>
  <c r="I304" i="6"/>
  <c r="H304" i="6"/>
  <c r="G304" i="6"/>
  <c r="E304" i="6"/>
  <c r="J303" i="6"/>
  <c r="E303" i="6"/>
  <c r="J302" i="6"/>
  <c r="E302" i="6"/>
  <c r="K301" i="6"/>
  <c r="J301" i="6"/>
  <c r="I301" i="6"/>
  <c r="H301" i="6"/>
  <c r="G301" i="6"/>
  <c r="F301" i="6"/>
  <c r="V300" i="6"/>
  <c r="T300" i="6"/>
  <c r="K303" i="6" s="1"/>
  <c r="R300" i="6"/>
  <c r="K302" i="6" s="1"/>
  <c r="J305" i="6" s="1"/>
  <c r="U300" i="6"/>
  <c r="S300" i="6"/>
  <c r="I303" i="6" s="1"/>
  <c r="Q300" i="6"/>
  <c r="I302" i="6" s="1"/>
  <c r="E300" i="6"/>
  <c r="D300" i="6"/>
  <c r="B300" i="6"/>
  <c r="Z299" i="6"/>
  <c r="Y299" i="6"/>
  <c r="X299" i="6"/>
  <c r="I298" i="6"/>
  <c r="H298" i="6"/>
  <c r="G298" i="6"/>
  <c r="E298" i="6"/>
  <c r="J297" i="6"/>
  <c r="E297" i="6"/>
  <c r="J296" i="6"/>
  <c r="E296" i="6"/>
  <c r="K295" i="6"/>
  <c r="J295" i="6"/>
  <c r="I295" i="6"/>
  <c r="H295" i="6"/>
  <c r="G295" i="6"/>
  <c r="F295" i="6"/>
  <c r="V294" i="6"/>
  <c r="T294" i="6"/>
  <c r="K297" i="6" s="1"/>
  <c r="R294" i="6"/>
  <c r="K296" i="6" s="1"/>
  <c r="U294" i="6"/>
  <c r="S294" i="6"/>
  <c r="I297" i="6" s="1"/>
  <c r="Q294" i="6"/>
  <c r="I296" i="6" s="1"/>
  <c r="E294" i="6"/>
  <c r="D294" i="6"/>
  <c r="B294" i="6"/>
  <c r="Z293" i="6"/>
  <c r="Y293" i="6"/>
  <c r="X293" i="6"/>
  <c r="I292" i="6"/>
  <c r="H292" i="6"/>
  <c r="G292" i="6"/>
  <c r="E292" i="6"/>
  <c r="J291" i="6"/>
  <c r="E291" i="6"/>
  <c r="J290" i="6"/>
  <c r="E290" i="6"/>
  <c r="K289" i="6"/>
  <c r="J289" i="6"/>
  <c r="I289" i="6"/>
  <c r="H289" i="6"/>
  <c r="G289" i="6"/>
  <c r="F289" i="6"/>
  <c r="V288" i="6"/>
  <c r="T288" i="6"/>
  <c r="K291" i="6" s="1"/>
  <c r="R288" i="6"/>
  <c r="K290" i="6" s="1"/>
  <c r="J293" i="6" s="1"/>
  <c r="U288" i="6"/>
  <c r="S288" i="6"/>
  <c r="I291" i="6" s="1"/>
  <c r="Q288" i="6"/>
  <c r="I290" i="6" s="1"/>
  <c r="E288" i="6"/>
  <c r="D288" i="6"/>
  <c r="B288" i="6"/>
  <c r="Z287" i="6"/>
  <c r="Y287" i="6"/>
  <c r="X287" i="6"/>
  <c r="I286" i="6"/>
  <c r="H286" i="6"/>
  <c r="G286" i="6"/>
  <c r="E286" i="6"/>
  <c r="J285" i="6"/>
  <c r="E285" i="6"/>
  <c r="J284" i="6"/>
  <c r="E284" i="6"/>
  <c r="K283" i="6"/>
  <c r="J283" i="6"/>
  <c r="I283" i="6"/>
  <c r="H283" i="6"/>
  <c r="G283" i="6"/>
  <c r="F283" i="6"/>
  <c r="V282" i="6"/>
  <c r="T282" i="6"/>
  <c r="K285" i="6" s="1"/>
  <c r="R282" i="6"/>
  <c r="K284" i="6" s="1"/>
  <c r="U282" i="6"/>
  <c r="S282" i="6"/>
  <c r="I285" i="6" s="1"/>
  <c r="Q282" i="6"/>
  <c r="I284" i="6" s="1"/>
  <c r="E282" i="6"/>
  <c r="D282" i="6"/>
  <c r="B282" i="6"/>
  <c r="Z281" i="6"/>
  <c r="Y281" i="6"/>
  <c r="X281" i="6"/>
  <c r="I280" i="6"/>
  <c r="H280" i="6"/>
  <c r="G280" i="6"/>
  <c r="E280" i="6"/>
  <c r="J279" i="6"/>
  <c r="E279" i="6"/>
  <c r="J278" i="6"/>
  <c r="E278" i="6"/>
  <c r="K277" i="6"/>
  <c r="J277" i="6"/>
  <c r="I277" i="6"/>
  <c r="H277" i="6"/>
  <c r="G277" i="6"/>
  <c r="F277" i="6"/>
  <c r="V276" i="6"/>
  <c r="T276" i="6"/>
  <c r="K279" i="6" s="1"/>
  <c r="R276" i="6"/>
  <c r="K278" i="6" s="1"/>
  <c r="J281" i="6" s="1"/>
  <c r="U276" i="6"/>
  <c r="S276" i="6"/>
  <c r="I279" i="6" s="1"/>
  <c r="Q276" i="6"/>
  <c r="I278" i="6" s="1"/>
  <c r="E276" i="6"/>
  <c r="D276" i="6"/>
  <c r="B276" i="6"/>
  <c r="Z275" i="6"/>
  <c r="Y275" i="6"/>
  <c r="X275" i="6"/>
  <c r="I274" i="6"/>
  <c r="H274" i="6"/>
  <c r="G274" i="6"/>
  <c r="E274" i="6"/>
  <c r="J273" i="6"/>
  <c r="E273" i="6"/>
  <c r="J272" i="6"/>
  <c r="E272" i="6"/>
  <c r="K271" i="6"/>
  <c r="J271" i="6"/>
  <c r="I271" i="6"/>
  <c r="H271" i="6"/>
  <c r="G271" i="6"/>
  <c r="F271" i="6"/>
  <c r="V270" i="6"/>
  <c r="T270" i="6"/>
  <c r="K273" i="6" s="1"/>
  <c r="R270" i="6"/>
  <c r="K272" i="6" s="1"/>
  <c r="U270" i="6"/>
  <c r="S270" i="6"/>
  <c r="I273" i="6" s="1"/>
  <c r="Q270" i="6"/>
  <c r="I272" i="6" s="1"/>
  <c r="E270" i="6"/>
  <c r="D270" i="6"/>
  <c r="B270" i="6"/>
  <c r="Z269" i="6"/>
  <c r="Y269" i="6"/>
  <c r="X269" i="6"/>
  <c r="I268" i="6"/>
  <c r="H268" i="6"/>
  <c r="G268" i="6"/>
  <c r="E268" i="6"/>
  <c r="J267" i="6"/>
  <c r="E267" i="6"/>
  <c r="J266" i="6"/>
  <c r="E266" i="6"/>
  <c r="K265" i="6"/>
  <c r="J265" i="6"/>
  <c r="I265" i="6"/>
  <c r="H265" i="6"/>
  <c r="G265" i="6"/>
  <c r="F265" i="6"/>
  <c r="V264" i="6"/>
  <c r="T264" i="6"/>
  <c r="K267" i="6" s="1"/>
  <c r="R264" i="6"/>
  <c r="K266" i="6" s="1"/>
  <c r="J269" i="6" s="1"/>
  <c r="U264" i="6"/>
  <c r="S264" i="6"/>
  <c r="I267" i="6" s="1"/>
  <c r="Q264" i="6"/>
  <c r="I266" i="6" s="1"/>
  <c r="E264" i="6"/>
  <c r="D264" i="6"/>
  <c r="B264" i="6"/>
  <c r="Z263" i="6"/>
  <c r="Y263" i="6"/>
  <c r="X263" i="6"/>
  <c r="I262" i="6"/>
  <c r="H262" i="6"/>
  <c r="G262" i="6"/>
  <c r="E262" i="6"/>
  <c r="J261" i="6"/>
  <c r="E261" i="6"/>
  <c r="J260" i="6"/>
  <c r="E260" i="6"/>
  <c r="K259" i="6"/>
  <c r="J259" i="6"/>
  <c r="I259" i="6"/>
  <c r="H259" i="6"/>
  <c r="G259" i="6"/>
  <c r="F259" i="6"/>
  <c r="V258" i="6"/>
  <c r="T258" i="6"/>
  <c r="K261" i="6" s="1"/>
  <c r="R258" i="6"/>
  <c r="K260" i="6" s="1"/>
  <c r="U258" i="6"/>
  <c r="S258" i="6"/>
  <c r="I261" i="6" s="1"/>
  <c r="Q258" i="6"/>
  <c r="I260" i="6" s="1"/>
  <c r="E258" i="6"/>
  <c r="D258" i="6"/>
  <c r="B258" i="6"/>
  <c r="Z257" i="6"/>
  <c r="Y257" i="6"/>
  <c r="X257" i="6"/>
  <c r="I256" i="6"/>
  <c r="H256" i="6"/>
  <c r="G256" i="6"/>
  <c r="E256" i="6"/>
  <c r="J255" i="6"/>
  <c r="E255" i="6"/>
  <c r="J254" i="6"/>
  <c r="E254" i="6"/>
  <c r="K253" i="6"/>
  <c r="J253" i="6"/>
  <c r="I253" i="6"/>
  <c r="H253" i="6"/>
  <c r="G253" i="6"/>
  <c r="F253" i="6"/>
  <c r="V252" i="6"/>
  <c r="T252" i="6"/>
  <c r="K255" i="6" s="1"/>
  <c r="R252" i="6"/>
  <c r="K254" i="6" s="1"/>
  <c r="J257" i="6" s="1"/>
  <c r="U252" i="6"/>
  <c r="S252" i="6"/>
  <c r="I255" i="6" s="1"/>
  <c r="Q252" i="6"/>
  <c r="I254" i="6" s="1"/>
  <c r="E252" i="6"/>
  <c r="D252" i="6"/>
  <c r="B252" i="6"/>
  <c r="Z251" i="6"/>
  <c r="Y251" i="6"/>
  <c r="X251" i="6"/>
  <c r="I250" i="6"/>
  <c r="H250" i="6"/>
  <c r="G250" i="6"/>
  <c r="E250" i="6"/>
  <c r="J249" i="6"/>
  <c r="E249" i="6"/>
  <c r="J248" i="6"/>
  <c r="E248" i="6"/>
  <c r="K247" i="6"/>
  <c r="J247" i="6"/>
  <c r="I247" i="6"/>
  <c r="H247" i="6"/>
  <c r="G247" i="6"/>
  <c r="F247" i="6"/>
  <c r="V246" i="6"/>
  <c r="T246" i="6"/>
  <c r="K249" i="6" s="1"/>
  <c r="R246" i="6"/>
  <c r="K248" i="6" s="1"/>
  <c r="U246" i="6"/>
  <c r="S246" i="6"/>
  <c r="I249" i="6" s="1"/>
  <c r="Q246" i="6"/>
  <c r="I248" i="6" s="1"/>
  <c r="E246" i="6"/>
  <c r="D246" i="6"/>
  <c r="B246" i="6"/>
  <c r="Z245" i="6"/>
  <c r="Y245" i="6"/>
  <c r="X245" i="6"/>
  <c r="I244" i="6"/>
  <c r="H244" i="6"/>
  <c r="G244" i="6"/>
  <c r="E244" i="6"/>
  <c r="J243" i="6"/>
  <c r="E243" i="6"/>
  <c r="J242" i="6"/>
  <c r="E242" i="6"/>
  <c r="K241" i="6"/>
  <c r="J241" i="6"/>
  <c r="I241" i="6"/>
  <c r="H241" i="6"/>
  <c r="G241" i="6"/>
  <c r="F241" i="6"/>
  <c r="V240" i="6"/>
  <c r="T240" i="6"/>
  <c r="K243" i="6" s="1"/>
  <c r="R240" i="6"/>
  <c r="K242" i="6" s="1"/>
  <c r="J245" i="6" s="1"/>
  <c r="U240" i="6"/>
  <c r="S240" i="6"/>
  <c r="I243" i="6" s="1"/>
  <c r="Q240" i="6"/>
  <c r="I242" i="6" s="1"/>
  <c r="E240" i="6"/>
  <c r="D240" i="6"/>
  <c r="B240" i="6"/>
  <c r="Z239" i="6"/>
  <c r="Y239" i="6"/>
  <c r="X239" i="6"/>
  <c r="I238" i="6"/>
  <c r="H238" i="6"/>
  <c r="G238" i="6"/>
  <c r="E238" i="6"/>
  <c r="J237" i="6"/>
  <c r="E237" i="6"/>
  <c r="J236" i="6"/>
  <c r="E236" i="6"/>
  <c r="K235" i="6"/>
  <c r="J235" i="6"/>
  <c r="I235" i="6"/>
  <c r="H235" i="6"/>
  <c r="G235" i="6"/>
  <c r="F235" i="6"/>
  <c r="V234" i="6"/>
  <c r="T234" i="6"/>
  <c r="K237" i="6" s="1"/>
  <c r="R234" i="6"/>
  <c r="K236" i="6" s="1"/>
  <c r="U234" i="6"/>
  <c r="S234" i="6"/>
  <c r="I237" i="6" s="1"/>
  <c r="Q234" i="6"/>
  <c r="I236" i="6" s="1"/>
  <c r="E234" i="6"/>
  <c r="D234" i="6"/>
  <c r="B234" i="6"/>
  <c r="Z233" i="6"/>
  <c r="Y233" i="6"/>
  <c r="X233" i="6"/>
  <c r="I232" i="6"/>
  <c r="H232" i="6"/>
  <c r="G232" i="6"/>
  <c r="E232" i="6"/>
  <c r="J231" i="6"/>
  <c r="E231" i="6"/>
  <c r="J230" i="6"/>
  <c r="E230" i="6"/>
  <c r="K229" i="6"/>
  <c r="J229" i="6"/>
  <c r="I229" i="6"/>
  <c r="H229" i="6"/>
  <c r="G229" i="6"/>
  <c r="F229" i="6"/>
  <c r="V228" i="6"/>
  <c r="T228" i="6"/>
  <c r="K231" i="6" s="1"/>
  <c r="R228" i="6"/>
  <c r="K230" i="6" s="1"/>
  <c r="J233" i="6" s="1"/>
  <c r="U228" i="6"/>
  <c r="S228" i="6"/>
  <c r="I231" i="6" s="1"/>
  <c r="Q228" i="6"/>
  <c r="I230" i="6" s="1"/>
  <c r="E228" i="6"/>
  <c r="D228" i="6"/>
  <c r="B228" i="6"/>
  <c r="A227" i="6"/>
  <c r="H225" i="6"/>
  <c r="J225" i="6"/>
  <c r="H224" i="6"/>
  <c r="J224" i="6"/>
  <c r="A223" i="6"/>
  <c r="AA221" i="6"/>
  <c r="Y221" i="6"/>
  <c r="X221" i="6"/>
  <c r="O221" i="6"/>
  <c r="K220" i="6"/>
  <c r="P221" i="6" s="1"/>
  <c r="J220" i="6"/>
  <c r="I220" i="6"/>
  <c r="Z221" i="6" s="1"/>
  <c r="H220" i="6"/>
  <c r="G220" i="6"/>
  <c r="F220" i="6"/>
  <c r="V220" i="6"/>
  <c r="T220" i="6"/>
  <c r="R220" i="6"/>
  <c r="U220" i="6"/>
  <c r="S220" i="6"/>
  <c r="Q220" i="6"/>
  <c r="E220" i="6"/>
  <c r="D220" i="6"/>
  <c r="B220" i="6"/>
  <c r="AA219" i="6"/>
  <c r="Y219" i="6"/>
  <c r="X219" i="6"/>
  <c r="K218" i="6"/>
  <c r="J219" i="6" s="1"/>
  <c r="J218" i="6"/>
  <c r="I218" i="6"/>
  <c r="H218" i="6"/>
  <c r="G218" i="6"/>
  <c r="F218" i="6"/>
  <c r="V218" i="6"/>
  <c r="T218" i="6"/>
  <c r="R218" i="6"/>
  <c r="U218" i="6"/>
  <c r="S218" i="6"/>
  <c r="Q218" i="6"/>
  <c r="E218" i="6"/>
  <c r="D218" i="6"/>
  <c r="B218" i="6"/>
  <c r="A217" i="6"/>
  <c r="H215" i="6"/>
  <c r="J215" i="6"/>
  <c r="H214" i="6"/>
  <c r="J214" i="6"/>
  <c r="A213" i="6"/>
  <c r="AA211" i="6"/>
  <c r="Z211" i="6"/>
  <c r="X211" i="6"/>
  <c r="I210" i="6"/>
  <c r="H210" i="6"/>
  <c r="G210" i="6"/>
  <c r="E210" i="6"/>
  <c r="J209" i="6"/>
  <c r="E209" i="6"/>
  <c r="J208" i="6"/>
  <c r="E208" i="6"/>
  <c r="J207" i="6"/>
  <c r="E207" i="6"/>
  <c r="K206" i="6"/>
  <c r="J206" i="6"/>
  <c r="H206" i="6"/>
  <c r="AA206" i="6"/>
  <c r="Z206" i="6"/>
  <c r="X206" i="6"/>
  <c r="I206" i="6"/>
  <c r="Y206" i="6" s="1"/>
  <c r="F206" i="6"/>
  <c r="V206" i="6"/>
  <c r="T206" i="6"/>
  <c r="R206" i="6"/>
  <c r="U206" i="6"/>
  <c r="S206" i="6"/>
  <c r="Q206" i="6"/>
  <c r="E206" i="6"/>
  <c r="D206" i="6"/>
  <c r="B206" i="6"/>
  <c r="K205" i="6"/>
  <c r="J205" i="6"/>
  <c r="I205" i="6"/>
  <c r="H205" i="6"/>
  <c r="G205" i="6"/>
  <c r="F205" i="6"/>
  <c r="K204" i="6"/>
  <c r="J204" i="6"/>
  <c r="I204" i="6"/>
  <c r="W204" i="6" s="1"/>
  <c r="H204" i="6"/>
  <c r="G204" i="6"/>
  <c r="F204" i="6"/>
  <c r="K203" i="6"/>
  <c r="J203" i="6"/>
  <c r="I203" i="6"/>
  <c r="H203" i="6"/>
  <c r="G203" i="6"/>
  <c r="F203" i="6"/>
  <c r="K202" i="6"/>
  <c r="J202" i="6"/>
  <c r="I202" i="6"/>
  <c r="W202" i="6" s="1"/>
  <c r="H202" i="6"/>
  <c r="G202" i="6"/>
  <c r="F202" i="6"/>
  <c r="V201" i="6"/>
  <c r="T201" i="6"/>
  <c r="K208" i="6" s="1"/>
  <c r="R201" i="6"/>
  <c r="K207" i="6" s="1"/>
  <c r="U201" i="6"/>
  <c r="S201" i="6"/>
  <c r="Q201" i="6"/>
  <c r="I207" i="6" s="1"/>
  <c r="E201" i="6"/>
  <c r="D201" i="6"/>
  <c r="B201" i="6"/>
  <c r="AA200" i="6"/>
  <c r="Z200" i="6"/>
  <c r="X200" i="6"/>
  <c r="I199" i="6"/>
  <c r="H199" i="6"/>
  <c r="G199" i="6"/>
  <c r="E199" i="6"/>
  <c r="K198" i="6"/>
  <c r="J198" i="6"/>
  <c r="E198" i="6"/>
  <c r="J197" i="6"/>
  <c r="E197" i="6"/>
  <c r="J196" i="6"/>
  <c r="E196" i="6"/>
  <c r="K195" i="6"/>
  <c r="J195" i="6"/>
  <c r="H195" i="6"/>
  <c r="AA195" i="6"/>
  <c r="Z195" i="6"/>
  <c r="X195" i="6"/>
  <c r="I195" i="6"/>
  <c r="Y195" i="6" s="1"/>
  <c r="F195" i="6"/>
  <c r="V195" i="6"/>
  <c r="T195" i="6"/>
  <c r="R195" i="6"/>
  <c r="U195" i="6"/>
  <c r="I198" i="6" s="1"/>
  <c r="S195" i="6"/>
  <c r="Q195" i="6"/>
  <c r="E195" i="6"/>
  <c r="D195" i="6"/>
  <c r="B195" i="6"/>
  <c r="K194" i="6"/>
  <c r="J194" i="6"/>
  <c r="I194" i="6"/>
  <c r="H194" i="6"/>
  <c r="G194" i="6"/>
  <c r="F194" i="6"/>
  <c r="K193" i="6"/>
  <c r="J193" i="6"/>
  <c r="I193" i="6"/>
  <c r="W193" i="6" s="1"/>
  <c r="H193" i="6"/>
  <c r="G193" i="6"/>
  <c r="F193" i="6"/>
  <c r="K192" i="6"/>
  <c r="J192" i="6"/>
  <c r="I192" i="6"/>
  <c r="H192" i="6"/>
  <c r="G192" i="6"/>
  <c r="F192" i="6"/>
  <c r="K191" i="6"/>
  <c r="J191" i="6"/>
  <c r="I191" i="6"/>
  <c r="H191" i="6"/>
  <c r="G191" i="6"/>
  <c r="F191" i="6"/>
  <c r="V190" i="6"/>
  <c r="T190" i="6"/>
  <c r="K197" i="6" s="1"/>
  <c r="R190" i="6"/>
  <c r="K196" i="6" s="1"/>
  <c r="U190" i="6"/>
  <c r="S190" i="6"/>
  <c r="I197" i="6" s="1"/>
  <c r="Q190" i="6"/>
  <c r="I196" i="6" s="1"/>
  <c r="E190" i="6"/>
  <c r="D190" i="6"/>
  <c r="B190" i="6"/>
  <c r="AA189" i="6"/>
  <c r="Z189" i="6"/>
  <c r="X189" i="6"/>
  <c r="I188" i="6"/>
  <c r="H188" i="6"/>
  <c r="G188" i="6"/>
  <c r="E188" i="6"/>
  <c r="J187" i="6"/>
  <c r="E187" i="6"/>
  <c r="J186" i="6"/>
  <c r="E186" i="6"/>
  <c r="J185" i="6"/>
  <c r="E185" i="6"/>
  <c r="K184" i="6"/>
  <c r="J184" i="6"/>
  <c r="H184" i="6"/>
  <c r="AA184" i="6"/>
  <c r="Z184" i="6"/>
  <c r="Y184" i="6"/>
  <c r="I184" i="6"/>
  <c r="X184" i="6" s="1"/>
  <c r="F184" i="6"/>
  <c r="V184" i="6"/>
  <c r="T184" i="6"/>
  <c r="R184" i="6"/>
  <c r="U184" i="6"/>
  <c r="S184" i="6"/>
  <c r="Q184" i="6"/>
  <c r="E184" i="6"/>
  <c r="D184" i="6"/>
  <c r="B184" i="6"/>
  <c r="K183" i="6"/>
  <c r="J183" i="6"/>
  <c r="I183" i="6"/>
  <c r="H183" i="6"/>
  <c r="G183" i="6"/>
  <c r="F183" i="6"/>
  <c r="K182" i="6"/>
  <c r="J182" i="6"/>
  <c r="I182" i="6"/>
  <c r="W182" i="6" s="1"/>
  <c r="H182" i="6"/>
  <c r="G182" i="6"/>
  <c r="F182" i="6"/>
  <c r="K181" i="6"/>
  <c r="J181" i="6"/>
  <c r="I181" i="6"/>
  <c r="H181" i="6"/>
  <c r="G181" i="6"/>
  <c r="F181" i="6"/>
  <c r="K180" i="6"/>
  <c r="J180" i="6"/>
  <c r="I180" i="6"/>
  <c r="W180" i="6" s="1"/>
  <c r="H180" i="6"/>
  <c r="G180" i="6"/>
  <c r="F180" i="6"/>
  <c r="V179" i="6"/>
  <c r="K187" i="6" s="1"/>
  <c r="T179" i="6"/>
  <c r="K186" i="6" s="1"/>
  <c r="R179" i="6"/>
  <c r="U179" i="6"/>
  <c r="S179" i="6"/>
  <c r="I186" i="6" s="1"/>
  <c r="Q179" i="6"/>
  <c r="I185" i="6" s="1"/>
  <c r="E179" i="6"/>
  <c r="D179" i="6"/>
  <c r="B179" i="6"/>
  <c r="AA178" i="6"/>
  <c r="Z178" i="6"/>
  <c r="Y178" i="6"/>
  <c r="I177" i="6"/>
  <c r="H177" i="6"/>
  <c r="G177" i="6"/>
  <c r="E177" i="6"/>
  <c r="J176" i="6"/>
  <c r="I176" i="6"/>
  <c r="E176" i="6"/>
  <c r="J175" i="6"/>
  <c r="I175" i="6"/>
  <c r="O178" i="6" s="1"/>
  <c r="E175" i="6"/>
  <c r="K174" i="6"/>
  <c r="J174" i="6"/>
  <c r="W174" i="6"/>
  <c r="I174" i="6"/>
  <c r="H174" i="6"/>
  <c r="G174" i="6"/>
  <c r="F174" i="6"/>
  <c r="V173" i="6"/>
  <c r="T173" i="6"/>
  <c r="K176" i="6" s="1"/>
  <c r="R173" i="6"/>
  <c r="K175" i="6" s="1"/>
  <c r="U173" i="6"/>
  <c r="S173" i="6"/>
  <c r="Q173" i="6"/>
  <c r="E173" i="6"/>
  <c r="D173" i="6"/>
  <c r="B173" i="6"/>
  <c r="AA172" i="6"/>
  <c r="Z172" i="6"/>
  <c r="Y172" i="6"/>
  <c r="I171" i="6"/>
  <c r="H171" i="6"/>
  <c r="G171" i="6"/>
  <c r="E171" i="6"/>
  <c r="J170" i="6"/>
  <c r="E170" i="6"/>
  <c r="K169" i="6"/>
  <c r="J169" i="6"/>
  <c r="E169" i="6"/>
  <c r="K168" i="6"/>
  <c r="J168" i="6"/>
  <c r="I168" i="6"/>
  <c r="W168" i="6" s="1"/>
  <c r="H168" i="6"/>
  <c r="G168" i="6"/>
  <c r="F168" i="6"/>
  <c r="C167" i="6"/>
  <c r="V166" i="6"/>
  <c r="T166" i="6"/>
  <c r="K170" i="6" s="1"/>
  <c r="R166" i="6"/>
  <c r="U166" i="6"/>
  <c r="S166" i="6"/>
  <c r="I170" i="6" s="1"/>
  <c r="Q166" i="6"/>
  <c r="I169" i="6" s="1"/>
  <c r="E166" i="6"/>
  <c r="D166" i="6"/>
  <c r="B166" i="6"/>
  <c r="C165" i="6"/>
  <c r="AA164" i="6"/>
  <c r="Z164" i="6"/>
  <c r="X164" i="6"/>
  <c r="I163" i="6"/>
  <c r="H163" i="6"/>
  <c r="G163" i="6"/>
  <c r="E163" i="6"/>
  <c r="J162" i="6"/>
  <c r="E162" i="6"/>
  <c r="K161" i="6"/>
  <c r="J161" i="6"/>
  <c r="E161" i="6"/>
  <c r="K160" i="6"/>
  <c r="J160" i="6"/>
  <c r="E160" i="6"/>
  <c r="K159" i="6"/>
  <c r="J159" i="6"/>
  <c r="I159" i="6"/>
  <c r="H159" i="6"/>
  <c r="G159" i="6"/>
  <c r="F159" i="6"/>
  <c r="K158" i="6"/>
  <c r="J158" i="6"/>
  <c r="I158" i="6"/>
  <c r="W158" i="6" s="1"/>
  <c r="H158" i="6"/>
  <c r="G158" i="6"/>
  <c r="F158" i="6"/>
  <c r="K157" i="6"/>
  <c r="J157" i="6"/>
  <c r="I157" i="6"/>
  <c r="H157" i="6"/>
  <c r="G157" i="6"/>
  <c r="F157" i="6"/>
  <c r="K156" i="6"/>
  <c r="J156" i="6"/>
  <c r="I156" i="6"/>
  <c r="H156" i="6"/>
  <c r="G156" i="6"/>
  <c r="F156" i="6"/>
  <c r="V155" i="6"/>
  <c r="K162" i="6" s="1"/>
  <c r="T155" i="6"/>
  <c r="R155" i="6"/>
  <c r="U155" i="6"/>
  <c r="I162" i="6" s="1"/>
  <c r="S155" i="6"/>
  <c r="I161" i="6" s="1"/>
  <c r="Q155" i="6"/>
  <c r="I160" i="6" s="1"/>
  <c r="E155" i="6"/>
  <c r="D155" i="6"/>
  <c r="B155" i="6"/>
  <c r="AA154" i="6"/>
  <c r="Z154" i="6"/>
  <c r="X154" i="6"/>
  <c r="I153" i="6"/>
  <c r="H153" i="6"/>
  <c r="G153" i="6"/>
  <c r="E153" i="6"/>
  <c r="J152" i="6"/>
  <c r="E152" i="6"/>
  <c r="J151" i="6"/>
  <c r="E151" i="6"/>
  <c r="J150" i="6"/>
  <c r="E150" i="6"/>
  <c r="K149" i="6"/>
  <c r="J149" i="6"/>
  <c r="I149" i="6"/>
  <c r="H149" i="6"/>
  <c r="G149" i="6"/>
  <c r="F149" i="6"/>
  <c r="K148" i="6"/>
  <c r="J148" i="6"/>
  <c r="I148" i="6"/>
  <c r="W148" i="6" s="1"/>
  <c r="H148" i="6"/>
  <c r="G148" i="6"/>
  <c r="F148" i="6"/>
  <c r="K147" i="6"/>
  <c r="J147" i="6"/>
  <c r="I147" i="6"/>
  <c r="H147" i="6"/>
  <c r="G147" i="6"/>
  <c r="F147" i="6"/>
  <c r="K146" i="6"/>
  <c r="J146" i="6"/>
  <c r="I146" i="6"/>
  <c r="H154" i="6" s="1"/>
  <c r="H146" i="6"/>
  <c r="G146" i="6"/>
  <c r="F146" i="6"/>
  <c r="V145" i="6"/>
  <c r="K152" i="6" s="1"/>
  <c r="T145" i="6"/>
  <c r="K151" i="6" s="1"/>
  <c r="R145" i="6"/>
  <c r="K150" i="6" s="1"/>
  <c r="U145" i="6"/>
  <c r="I152" i="6" s="1"/>
  <c r="S145" i="6"/>
  <c r="I151" i="6" s="1"/>
  <c r="Q145" i="6"/>
  <c r="I150" i="6" s="1"/>
  <c r="E145" i="6"/>
  <c r="D145" i="6"/>
  <c r="B145" i="6"/>
  <c r="C144" i="6"/>
  <c r="AA143" i="6"/>
  <c r="Z143" i="6"/>
  <c r="Y143" i="6"/>
  <c r="I142" i="6"/>
  <c r="H142" i="6"/>
  <c r="G142" i="6"/>
  <c r="E142" i="6"/>
  <c r="J141" i="6"/>
  <c r="E141" i="6"/>
  <c r="J140" i="6"/>
  <c r="E140" i="6"/>
  <c r="J139" i="6"/>
  <c r="E139" i="6"/>
  <c r="K138" i="6"/>
  <c r="J138" i="6"/>
  <c r="I138" i="6"/>
  <c r="H138" i="6"/>
  <c r="G138" i="6"/>
  <c r="F138" i="6"/>
  <c r="K137" i="6"/>
  <c r="J137" i="6"/>
  <c r="I137" i="6"/>
  <c r="W137" i="6" s="1"/>
  <c r="H137" i="6"/>
  <c r="G137" i="6"/>
  <c r="F137" i="6"/>
  <c r="K136" i="6"/>
  <c r="J136" i="6"/>
  <c r="I136" i="6"/>
  <c r="H136" i="6"/>
  <c r="G136" i="6"/>
  <c r="F136" i="6"/>
  <c r="K135" i="6"/>
  <c r="J135" i="6"/>
  <c r="I135" i="6"/>
  <c r="H135" i="6"/>
  <c r="G135" i="6"/>
  <c r="F135" i="6"/>
  <c r="V134" i="6"/>
  <c r="K141" i="6" s="1"/>
  <c r="T134" i="6"/>
  <c r="K140" i="6" s="1"/>
  <c r="R134" i="6"/>
  <c r="K139" i="6" s="1"/>
  <c r="U134" i="6"/>
  <c r="I141" i="6" s="1"/>
  <c r="S134" i="6"/>
  <c r="I140" i="6" s="1"/>
  <c r="Q134" i="6"/>
  <c r="I139" i="6" s="1"/>
  <c r="E134" i="6"/>
  <c r="D134" i="6"/>
  <c r="B134" i="6"/>
  <c r="AA133" i="6"/>
  <c r="Z133" i="6"/>
  <c r="Y133" i="6"/>
  <c r="I132" i="6"/>
  <c r="H132" i="6"/>
  <c r="G132" i="6"/>
  <c r="E132" i="6"/>
  <c r="J131" i="6"/>
  <c r="E131" i="6"/>
  <c r="J130" i="6"/>
  <c r="I130" i="6"/>
  <c r="E130" i="6"/>
  <c r="J129" i="6"/>
  <c r="E129" i="6"/>
  <c r="K128" i="6"/>
  <c r="J128" i="6"/>
  <c r="H128" i="6"/>
  <c r="AA128" i="6"/>
  <c r="Z128" i="6"/>
  <c r="Y128" i="6"/>
  <c r="I128" i="6"/>
  <c r="X128" i="6" s="1"/>
  <c r="F128" i="6"/>
  <c r="V128" i="6"/>
  <c r="T128" i="6"/>
  <c r="R128" i="6"/>
  <c r="U128" i="6"/>
  <c r="S128" i="6"/>
  <c r="Q128" i="6"/>
  <c r="E128" i="6"/>
  <c r="D128" i="6"/>
  <c r="B128" i="6"/>
  <c r="K127" i="6"/>
  <c r="J127" i="6"/>
  <c r="I127" i="6"/>
  <c r="H127" i="6"/>
  <c r="G127" i="6"/>
  <c r="F127" i="6"/>
  <c r="K126" i="6"/>
  <c r="J126" i="6"/>
  <c r="I126" i="6"/>
  <c r="W126" i="6" s="1"/>
  <c r="H126" i="6"/>
  <c r="G126" i="6"/>
  <c r="F126" i="6"/>
  <c r="K125" i="6"/>
  <c r="J125" i="6"/>
  <c r="I125" i="6"/>
  <c r="H125" i="6"/>
  <c r="G125" i="6"/>
  <c r="F125" i="6"/>
  <c r="K124" i="6"/>
  <c r="J124" i="6"/>
  <c r="I124" i="6"/>
  <c r="H124" i="6"/>
  <c r="G124" i="6"/>
  <c r="F124" i="6"/>
  <c r="C123" i="6"/>
  <c r="V122" i="6"/>
  <c r="K131" i="6" s="1"/>
  <c r="T122" i="6"/>
  <c r="K130" i="6" s="1"/>
  <c r="R122" i="6"/>
  <c r="K129" i="6" s="1"/>
  <c r="U122" i="6"/>
  <c r="S122" i="6"/>
  <c r="Q122" i="6"/>
  <c r="I129" i="6" s="1"/>
  <c r="E122" i="6"/>
  <c r="D122" i="6"/>
  <c r="B122" i="6"/>
  <c r="AA121" i="6"/>
  <c r="Z121" i="6"/>
  <c r="Y121" i="6"/>
  <c r="I120" i="6"/>
  <c r="H120" i="6"/>
  <c r="G120" i="6"/>
  <c r="E120" i="6"/>
  <c r="J119" i="6"/>
  <c r="I119" i="6"/>
  <c r="E119" i="6"/>
  <c r="J118" i="6"/>
  <c r="E118" i="6"/>
  <c r="J117" i="6"/>
  <c r="E117" i="6"/>
  <c r="K116" i="6"/>
  <c r="J116" i="6"/>
  <c r="H116" i="6"/>
  <c r="AA116" i="6"/>
  <c r="Z116" i="6"/>
  <c r="Y116" i="6"/>
  <c r="X116" i="6"/>
  <c r="I116" i="6"/>
  <c r="F116" i="6"/>
  <c r="V116" i="6"/>
  <c r="T116" i="6"/>
  <c r="K118" i="6" s="1"/>
  <c r="R116" i="6"/>
  <c r="U116" i="6"/>
  <c r="S116" i="6"/>
  <c r="Q116" i="6"/>
  <c r="I117" i="6" s="1"/>
  <c r="E116" i="6"/>
  <c r="D116" i="6"/>
  <c r="B116" i="6"/>
  <c r="K115" i="6"/>
  <c r="J115" i="6"/>
  <c r="I115" i="6"/>
  <c r="W115" i="6" s="1"/>
  <c r="H115" i="6"/>
  <c r="G115" i="6"/>
  <c r="F115" i="6"/>
  <c r="K114" i="6"/>
  <c r="J114" i="6"/>
  <c r="I114" i="6"/>
  <c r="H114" i="6"/>
  <c r="G114" i="6"/>
  <c r="F114" i="6"/>
  <c r="K113" i="6"/>
  <c r="J113" i="6"/>
  <c r="I113" i="6"/>
  <c r="H113" i="6"/>
  <c r="G113" i="6"/>
  <c r="F113" i="6"/>
  <c r="V112" i="6"/>
  <c r="T112" i="6"/>
  <c r="R112" i="6"/>
  <c r="K117" i="6" s="1"/>
  <c r="U112" i="6"/>
  <c r="S112" i="6"/>
  <c r="Q112" i="6"/>
  <c r="E112" i="6"/>
  <c r="D112" i="6"/>
  <c r="B112" i="6"/>
  <c r="AA111" i="6"/>
  <c r="Z111" i="6"/>
  <c r="Y111" i="6"/>
  <c r="I110" i="6"/>
  <c r="H110" i="6"/>
  <c r="G110" i="6"/>
  <c r="E110" i="6"/>
  <c r="J109" i="6"/>
  <c r="E109" i="6"/>
  <c r="J108" i="6"/>
  <c r="E108" i="6"/>
  <c r="J107" i="6"/>
  <c r="E107" i="6"/>
  <c r="K106" i="6"/>
  <c r="J106" i="6"/>
  <c r="H106" i="6"/>
  <c r="AA106" i="6"/>
  <c r="Z106" i="6"/>
  <c r="Y106" i="6"/>
  <c r="I106" i="6"/>
  <c r="X106" i="6" s="1"/>
  <c r="F106" i="6"/>
  <c r="V106" i="6"/>
  <c r="T106" i="6"/>
  <c r="R106" i="6"/>
  <c r="U106" i="6"/>
  <c r="S106" i="6"/>
  <c r="Q106" i="6"/>
  <c r="E106" i="6"/>
  <c r="D106" i="6"/>
  <c r="B106" i="6"/>
  <c r="K105" i="6"/>
  <c r="J105" i="6"/>
  <c r="I105" i="6"/>
  <c r="H105" i="6"/>
  <c r="G105" i="6"/>
  <c r="F105" i="6"/>
  <c r="K104" i="6"/>
  <c r="J104" i="6"/>
  <c r="I104" i="6"/>
  <c r="W104" i="6" s="1"/>
  <c r="H104" i="6"/>
  <c r="G104" i="6"/>
  <c r="F104" i="6"/>
  <c r="K103" i="6"/>
  <c r="J103" i="6"/>
  <c r="I103" i="6"/>
  <c r="H103" i="6"/>
  <c r="G103" i="6"/>
  <c r="F103" i="6"/>
  <c r="K102" i="6"/>
  <c r="J102" i="6"/>
  <c r="I102" i="6"/>
  <c r="W102" i="6" s="1"/>
  <c r="H102" i="6"/>
  <c r="G102" i="6"/>
  <c r="F102" i="6"/>
  <c r="V101" i="6"/>
  <c r="K109" i="6" s="1"/>
  <c r="T101" i="6"/>
  <c r="R101" i="6"/>
  <c r="U101" i="6"/>
  <c r="S101" i="6"/>
  <c r="I108" i="6" s="1"/>
  <c r="Q101" i="6"/>
  <c r="E101" i="6"/>
  <c r="D101" i="6"/>
  <c r="B101" i="6"/>
  <c r="AA100" i="6"/>
  <c r="Z100" i="6"/>
  <c r="Y100" i="6"/>
  <c r="I99" i="6"/>
  <c r="H99" i="6"/>
  <c r="G99" i="6"/>
  <c r="E99" i="6"/>
  <c r="J98" i="6"/>
  <c r="E98" i="6"/>
  <c r="J97" i="6"/>
  <c r="E97" i="6"/>
  <c r="J96" i="6"/>
  <c r="E96" i="6"/>
  <c r="K95" i="6"/>
  <c r="J95" i="6"/>
  <c r="H95" i="6"/>
  <c r="AA95" i="6"/>
  <c r="Z95" i="6"/>
  <c r="Y95" i="6"/>
  <c r="X95" i="6"/>
  <c r="I95" i="6"/>
  <c r="F95" i="6"/>
  <c r="V95" i="6"/>
  <c r="T95" i="6"/>
  <c r="R95" i="6"/>
  <c r="U95" i="6"/>
  <c r="S95" i="6"/>
  <c r="I97" i="6" s="1"/>
  <c r="Q95" i="6"/>
  <c r="E95" i="6"/>
  <c r="D95" i="6"/>
  <c r="B95" i="6"/>
  <c r="K94" i="6"/>
  <c r="J94" i="6"/>
  <c r="I94" i="6"/>
  <c r="H94" i="6"/>
  <c r="G94" i="6"/>
  <c r="F94" i="6"/>
  <c r="K93" i="6"/>
  <c r="J93" i="6"/>
  <c r="W93" i="6"/>
  <c r="I93" i="6"/>
  <c r="H93" i="6"/>
  <c r="G93" i="6"/>
  <c r="F93" i="6"/>
  <c r="K92" i="6"/>
  <c r="J92" i="6"/>
  <c r="I92" i="6"/>
  <c r="H92" i="6"/>
  <c r="G92" i="6"/>
  <c r="F92" i="6"/>
  <c r="K91" i="6"/>
  <c r="J91" i="6"/>
  <c r="I91" i="6"/>
  <c r="H91" i="6"/>
  <c r="G91" i="6"/>
  <c r="F91" i="6"/>
  <c r="V90" i="6"/>
  <c r="T90" i="6"/>
  <c r="R90" i="6"/>
  <c r="K96" i="6" s="1"/>
  <c r="U90" i="6"/>
  <c r="I98" i="6" s="1"/>
  <c r="S90" i="6"/>
  <c r="Q90" i="6"/>
  <c r="E90" i="6"/>
  <c r="D90" i="6"/>
  <c r="B90" i="6"/>
  <c r="C89" i="6"/>
  <c r="A88" i="6"/>
  <c r="H86" i="6"/>
  <c r="J86" i="6"/>
  <c r="H85" i="6"/>
  <c r="J85" i="6"/>
  <c r="A84" i="6"/>
  <c r="Z82" i="6"/>
  <c r="Y82" i="6"/>
  <c r="X82" i="6"/>
  <c r="K81" i="6"/>
  <c r="P82" i="6" s="1"/>
  <c r="J81" i="6"/>
  <c r="I81" i="6"/>
  <c r="H82" i="6" s="1"/>
  <c r="H81" i="6"/>
  <c r="G81" i="6"/>
  <c r="F81" i="6"/>
  <c r="V80" i="6"/>
  <c r="T80" i="6"/>
  <c r="R80" i="6"/>
  <c r="U80" i="6"/>
  <c r="S80" i="6"/>
  <c r="Q80" i="6"/>
  <c r="E80" i="6"/>
  <c r="D80" i="6"/>
  <c r="B80" i="6"/>
  <c r="AA79" i="6"/>
  <c r="Z79" i="6"/>
  <c r="Y79" i="6"/>
  <c r="H79" i="6"/>
  <c r="I78" i="6"/>
  <c r="H78" i="6"/>
  <c r="G78" i="6"/>
  <c r="E78" i="6"/>
  <c r="J77" i="6"/>
  <c r="E77" i="6"/>
  <c r="J76" i="6"/>
  <c r="E76" i="6"/>
  <c r="K75" i="6"/>
  <c r="J75" i="6"/>
  <c r="I75" i="6"/>
  <c r="W75" i="6" s="1"/>
  <c r="H75" i="6"/>
  <c r="G75" i="6"/>
  <c r="F75" i="6"/>
  <c r="C74" i="6"/>
  <c r="V73" i="6"/>
  <c r="T73" i="6"/>
  <c r="K77" i="6" s="1"/>
  <c r="R73" i="6"/>
  <c r="K76" i="6" s="1"/>
  <c r="U73" i="6"/>
  <c r="S73" i="6"/>
  <c r="I77" i="6" s="1"/>
  <c r="Q73" i="6"/>
  <c r="I76" i="6" s="1"/>
  <c r="O79" i="6" s="1"/>
  <c r="E73" i="6"/>
  <c r="D73" i="6"/>
  <c r="B73" i="6"/>
  <c r="AA72" i="6"/>
  <c r="Z72" i="6"/>
  <c r="X72" i="6"/>
  <c r="I71" i="6"/>
  <c r="H71" i="6"/>
  <c r="G71" i="6"/>
  <c r="E71" i="6"/>
  <c r="J70" i="6"/>
  <c r="E70" i="6"/>
  <c r="K69" i="6"/>
  <c r="J69" i="6"/>
  <c r="E69" i="6"/>
  <c r="J68" i="6"/>
  <c r="E68" i="6"/>
  <c r="K67" i="6"/>
  <c r="J67" i="6"/>
  <c r="I67" i="6"/>
  <c r="W67" i="6" s="1"/>
  <c r="H67" i="6"/>
  <c r="G67" i="6"/>
  <c r="F67" i="6"/>
  <c r="K66" i="6"/>
  <c r="J66" i="6"/>
  <c r="I66" i="6"/>
  <c r="H66" i="6"/>
  <c r="G66" i="6"/>
  <c r="F66" i="6"/>
  <c r="K65" i="6"/>
  <c r="J65" i="6"/>
  <c r="I65" i="6"/>
  <c r="H65" i="6"/>
  <c r="G65" i="6"/>
  <c r="F65" i="6"/>
  <c r="V64" i="6"/>
  <c r="K70" i="6" s="1"/>
  <c r="T64" i="6"/>
  <c r="R64" i="6"/>
  <c r="K68" i="6" s="1"/>
  <c r="U64" i="6"/>
  <c r="I70" i="6" s="1"/>
  <c r="S64" i="6"/>
  <c r="I69" i="6" s="1"/>
  <c r="Q64" i="6"/>
  <c r="I68" i="6" s="1"/>
  <c r="E64" i="6"/>
  <c r="D64" i="6"/>
  <c r="AA63" i="6"/>
  <c r="Z63" i="6"/>
  <c r="X63" i="6"/>
  <c r="I62" i="6"/>
  <c r="H62" i="6"/>
  <c r="G62" i="6"/>
  <c r="E62" i="6"/>
  <c r="J61" i="6"/>
  <c r="E61" i="6"/>
  <c r="K60" i="6"/>
  <c r="J60" i="6"/>
  <c r="E60" i="6"/>
  <c r="J59" i="6"/>
  <c r="I59" i="6"/>
  <c r="E59" i="6"/>
  <c r="K58" i="6"/>
  <c r="J58" i="6"/>
  <c r="I58" i="6"/>
  <c r="W58" i="6" s="1"/>
  <c r="H58" i="6"/>
  <c r="G58" i="6"/>
  <c r="F58" i="6"/>
  <c r="K57" i="6"/>
  <c r="J57" i="6"/>
  <c r="I57" i="6"/>
  <c r="H57" i="6"/>
  <c r="G57" i="6"/>
  <c r="F57" i="6"/>
  <c r="K56" i="6"/>
  <c r="J56" i="6"/>
  <c r="I56" i="6"/>
  <c r="O63" i="6" s="1"/>
  <c r="H56" i="6"/>
  <c r="G56" i="6"/>
  <c r="F56" i="6"/>
  <c r="V55" i="6"/>
  <c r="K61" i="6" s="1"/>
  <c r="T55" i="6"/>
  <c r="R55" i="6"/>
  <c r="K59" i="6" s="1"/>
  <c r="U55" i="6"/>
  <c r="I61" i="6" s="1"/>
  <c r="S55" i="6"/>
  <c r="I60" i="6" s="1"/>
  <c r="Q55" i="6"/>
  <c r="E55" i="6"/>
  <c r="D55" i="6"/>
  <c r="AA54" i="6"/>
  <c r="Z54" i="6"/>
  <c r="Y54" i="6"/>
  <c r="I53" i="6"/>
  <c r="H53" i="6"/>
  <c r="G53" i="6"/>
  <c r="E53" i="6"/>
  <c r="J52" i="6"/>
  <c r="E52" i="6"/>
  <c r="J51" i="6"/>
  <c r="E51" i="6"/>
  <c r="J50" i="6"/>
  <c r="E50" i="6"/>
  <c r="K49" i="6"/>
  <c r="J49" i="6"/>
  <c r="I49" i="6"/>
  <c r="W49" i="6" s="1"/>
  <c r="H49" i="6"/>
  <c r="G49" i="6"/>
  <c r="F49" i="6"/>
  <c r="K48" i="6"/>
  <c r="J48" i="6"/>
  <c r="I48" i="6"/>
  <c r="H48" i="6"/>
  <c r="G48" i="6"/>
  <c r="F48" i="6"/>
  <c r="K47" i="6"/>
  <c r="J47" i="6"/>
  <c r="I47" i="6"/>
  <c r="W47" i="6" s="1"/>
  <c r="H47" i="6"/>
  <c r="G47" i="6"/>
  <c r="F47" i="6"/>
  <c r="C46" i="6"/>
  <c r="V45" i="6"/>
  <c r="K52" i="6" s="1"/>
  <c r="T45" i="6"/>
  <c r="K51" i="6" s="1"/>
  <c r="R45" i="6"/>
  <c r="K50" i="6" s="1"/>
  <c r="U45" i="6"/>
  <c r="I52" i="6" s="1"/>
  <c r="S45" i="6"/>
  <c r="I51" i="6" s="1"/>
  <c r="Q45" i="6"/>
  <c r="I50" i="6" s="1"/>
  <c r="E45" i="6"/>
  <c r="D45" i="6"/>
  <c r="AA44" i="6"/>
  <c r="Z44" i="6"/>
  <c r="Y44" i="6"/>
  <c r="I43" i="6"/>
  <c r="H43" i="6"/>
  <c r="G43" i="6"/>
  <c r="E43" i="6"/>
  <c r="J42" i="6"/>
  <c r="E42" i="6"/>
  <c r="J41" i="6"/>
  <c r="E41" i="6"/>
  <c r="J40" i="6"/>
  <c r="E40" i="6"/>
  <c r="K39" i="6"/>
  <c r="J39" i="6"/>
  <c r="I39" i="6"/>
  <c r="W39" i="6" s="1"/>
  <c r="H39" i="6"/>
  <c r="G39" i="6"/>
  <c r="F39" i="6"/>
  <c r="K38" i="6"/>
  <c r="J38" i="6"/>
  <c r="I38" i="6"/>
  <c r="H38" i="6"/>
  <c r="G38" i="6"/>
  <c r="F38" i="6"/>
  <c r="K37" i="6"/>
  <c r="J37" i="6"/>
  <c r="W37" i="6"/>
  <c r="I37" i="6"/>
  <c r="H37" i="6"/>
  <c r="G37" i="6"/>
  <c r="F37" i="6"/>
  <c r="V36" i="6"/>
  <c r="K42" i="6" s="1"/>
  <c r="T36" i="6"/>
  <c r="K41" i="6" s="1"/>
  <c r="R36" i="6"/>
  <c r="K40" i="6" s="1"/>
  <c r="U36" i="6"/>
  <c r="I42" i="6" s="1"/>
  <c r="S36" i="6"/>
  <c r="I41" i="6" s="1"/>
  <c r="Q36" i="6"/>
  <c r="I40" i="6" s="1"/>
  <c r="E36" i="6"/>
  <c r="D36" i="6"/>
  <c r="A35" i="6"/>
  <c r="A21" i="6"/>
  <c r="A18" i="6"/>
  <c r="AK16" i="6"/>
  <c r="A16" i="6"/>
  <c r="A13" i="6"/>
  <c r="G6" i="6"/>
  <c r="B6" i="6"/>
  <c r="A1" i="6"/>
  <c r="Y200" i="6" l="1"/>
  <c r="W146" i="6"/>
  <c r="J172" i="6"/>
  <c r="P143" i="6"/>
  <c r="I96" i="6"/>
  <c r="X100" i="6" s="1"/>
  <c r="K97" i="6"/>
  <c r="I109" i="6"/>
  <c r="I107" i="6"/>
  <c r="I118" i="6"/>
  <c r="X121" i="6" s="1"/>
  <c r="K119" i="6"/>
  <c r="P121" i="6" s="1"/>
  <c r="I131" i="6"/>
  <c r="P133" i="6"/>
  <c r="I187" i="6"/>
  <c r="O189" i="6" s="1"/>
  <c r="I209" i="6"/>
  <c r="J221" i="6"/>
  <c r="J23" i="6"/>
  <c r="O111" i="6"/>
  <c r="P44" i="6"/>
  <c r="O54" i="6"/>
  <c r="O82" i="6"/>
  <c r="AA82" i="6"/>
  <c r="P200" i="6"/>
  <c r="P219" i="6"/>
  <c r="J223" i="6" s="1"/>
  <c r="H221" i="6"/>
  <c r="J239" i="6"/>
  <c r="J251" i="6"/>
  <c r="J263" i="6"/>
  <c r="J275" i="6"/>
  <c r="J287" i="6"/>
  <c r="J299" i="6"/>
  <c r="J63" i="6"/>
  <c r="X44" i="6"/>
  <c r="J72" i="6"/>
  <c r="P54" i="6"/>
  <c r="H72" i="6"/>
  <c r="Y72" i="6"/>
  <c r="H133" i="6"/>
  <c r="O133" i="6"/>
  <c r="W124" i="6"/>
  <c r="O143" i="6"/>
  <c r="X143" i="6"/>
  <c r="H143" i="6"/>
  <c r="W135" i="6"/>
  <c r="J200" i="6"/>
  <c r="P233" i="6"/>
  <c r="P245" i="6"/>
  <c r="P257" i="6"/>
  <c r="P269" i="6"/>
  <c r="J44" i="6"/>
  <c r="W65" i="6"/>
  <c r="O121" i="6"/>
  <c r="W113" i="6"/>
  <c r="P164" i="6"/>
  <c r="H44" i="6"/>
  <c r="H63" i="6"/>
  <c r="Y63" i="6"/>
  <c r="P79" i="6"/>
  <c r="J79" i="6"/>
  <c r="K98" i="6"/>
  <c r="J100" i="6" s="1"/>
  <c r="K107" i="6"/>
  <c r="J143" i="6"/>
  <c r="O172" i="6"/>
  <c r="P239" i="6"/>
  <c r="P251" i="6"/>
  <c r="P263" i="6"/>
  <c r="P275" i="6"/>
  <c r="P287" i="6"/>
  <c r="P299" i="6"/>
  <c r="X133" i="6"/>
  <c r="H164" i="6"/>
  <c r="W156" i="6"/>
  <c r="O164" i="6"/>
  <c r="Y164" i="6"/>
  <c r="P281" i="6"/>
  <c r="P293" i="6"/>
  <c r="P305" i="6"/>
  <c r="J54" i="6"/>
  <c r="P72" i="6"/>
  <c r="J82" i="6"/>
  <c r="O44" i="6"/>
  <c r="H54" i="6"/>
  <c r="X54" i="6"/>
  <c r="W56" i="6"/>
  <c r="P63" i="6"/>
  <c r="J84" i="6" s="1"/>
  <c r="O72" i="6"/>
  <c r="K108" i="6"/>
  <c r="H111" i="6"/>
  <c r="J121" i="6"/>
  <c r="J133" i="6"/>
  <c r="Z219" i="6"/>
  <c r="I26" i="6" s="1"/>
  <c r="H219" i="6"/>
  <c r="X79" i="6"/>
  <c r="P154" i="6"/>
  <c r="J164" i="6"/>
  <c r="X172" i="6"/>
  <c r="P172" i="6"/>
  <c r="J178" i="6"/>
  <c r="K185" i="6"/>
  <c r="J189" i="6" s="1"/>
  <c r="H200" i="6"/>
  <c r="W191" i="6"/>
  <c r="O200" i="6"/>
  <c r="AA233" i="6"/>
  <c r="O233" i="6"/>
  <c r="W229" i="6"/>
  <c r="H233" i="6"/>
  <c r="AA239" i="6"/>
  <c r="O239" i="6"/>
  <c r="W235" i="6"/>
  <c r="H239" i="6"/>
  <c r="AA245" i="6"/>
  <c r="O245" i="6"/>
  <c r="W241" i="6"/>
  <c r="H245" i="6"/>
  <c r="AA251" i="6"/>
  <c r="O251" i="6"/>
  <c r="W247" i="6"/>
  <c r="H251" i="6"/>
  <c r="AA257" i="6"/>
  <c r="O257" i="6"/>
  <c r="W253" i="6"/>
  <c r="H257" i="6"/>
  <c r="AA263" i="6"/>
  <c r="O263" i="6"/>
  <c r="W259" i="6"/>
  <c r="H263" i="6"/>
  <c r="AA269" i="6"/>
  <c r="O269" i="6"/>
  <c r="W265" i="6"/>
  <c r="H269" i="6"/>
  <c r="AA275" i="6"/>
  <c r="O275" i="6"/>
  <c r="W271" i="6"/>
  <c r="H275" i="6"/>
  <c r="AA281" i="6"/>
  <c r="O281" i="6"/>
  <c r="W277" i="6"/>
  <c r="H281" i="6"/>
  <c r="AA287" i="6"/>
  <c r="O287" i="6"/>
  <c r="W283" i="6"/>
  <c r="H287" i="6"/>
  <c r="AA293" i="6"/>
  <c r="O293" i="6"/>
  <c r="W289" i="6"/>
  <c r="H293" i="6"/>
  <c r="AA299" i="6"/>
  <c r="O299" i="6"/>
  <c r="W295" i="6"/>
  <c r="H299" i="6"/>
  <c r="AA305" i="6"/>
  <c r="O305" i="6"/>
  <c r="W301" i="6"/>
  <c r="H305" i="6"/>
  <c r="O219" i="6"/>
  <c r="H223" i="6" s="1"/>
  <c r="W91" i="6"/>
  <c r="Y154" i="6"/>
  <c r="J154" i="6"/>
  <c r="X178" i="6"/>
  <c r="P178" i="6"/>
  <c r="I208" i="6"/>
  <c r="O211" i="6" s="1"/>
  <c r="K209" i="6"/>
  <c r="J211" i="6" s="1"/>
  <c r="O154" i="6"/>
  <c r="H172" i="6"/>
  <c r="H178" i="6"/>
  <c r="Y189" i="6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1" i="3"/>
  <c r="Y1" i="3"/>
  <c r="CX1" i="3"/>
  <c r="DH1" i="3" s="1"/>
  <c r="CY1" i="3"/>
  <c r="CZ1" i="3"/>
  <c r="DA1" i="3"/>
  <c r="DB1" i="3"/>
  <c r="DC1" i="3"/>
  <c r="A2" i="3"/>
  <c r="Y2" i="3"/>
  <c r="CX2" i="3" s="1"/>
  <c r="CY2" i="3"/>
  <c r="CZ2" i="3"/>
  <c r="DA2" i="3"/>
  <c r="DB2" i="3"/>
  <c r="DC2" i="3"/>
  <c r="DH2" i="3"/>
  <c r="A3" i="3"/>
  <c r="Y3" i="3"/>
  <c r="CX3" i="3" s="1"/>
  <c r="CY3" i="3"/>
  <c r="CZ3" i="3"/>
  <c r="DB3" i="3" s="1"/>
  <c r="DA3" i="3"/>
  <c r="DC3" i="3"/>
  <c r="DF3" i="3"/>
  <c r="DG3" i="3"/>
  <c r="DJ3" i="3" s="1"/>
  <c r="A4" i="3"/>
  <c r="Y4" i="3"/>
  <c r="CX4" i="3"/>
  <c r="DG4" i="3" s="1"/>
  <c r="CY4" i="3"/>
  <c r="CZ4" i="3"/>
  <c r="DB4" i="3" s="1"/>
  <c r="DA4" i="3"/>
  <c r="DC4" i="3"/>
  <c r="DF4" i="3"/>
  <c r="DH4" i="3"/>
  <c r="DI4" i="3"/>
  <c r="DJ4" i="3"/>
  <c r="A5" i="3"/>
  <c r="Y5" i="3"/>
  <c r="CY5" i="3"/>
  <c r="CZ5" i="3"/>
  <c r="DA5" i="3"/>
  <c r="DB5" i="3"/>
  <c r="DC5" i="3"/>
  <c r="A6" i="3"/>
  <c r="Y6" i="3"/>
  <c r="CY6" i="3"/>
  <c r="CZ6" i="3"/>
  <c r="DA6" i="3"/>
  <c r="DB6" i="3"/>
  <c r="DC6" i="3"/>
  <c r="A7" i="3"/>
  <c r="Y7" i="3"/>
  <c r="CY7" i="3"/>
  <c r="CZ7" i="3"/>
  <c r="DB7" i="3" s="1"/>
  <c r="DA7" i="3"/>
  <c r="DC7" i="3"/>
  <c r="A8" i="3"/>
  <c r="Y8" i="3"/>
  <c r="CY8" i="3"/>
  <c r="CZ8" i="3"/>
  <c r="DB8" i="3" s="1"/>
  <c r="DA8" i="3"/>
  <c r="DC8" i="3"/>
  <c r="A9" i="3"/>
  <c r="Y9" i="3"/>
  <c r="CY9" i="3"/>
  <c r="CZ9" i="3"/>
  <c r="DA9" i="3"/>
  <c r="DB9" i="3"/>
  <c r="DC9" i="3"/>
  <c r="A10" i="3"/>
  <c r="Y10" i="3"/>
  <c r="CX10" i="3"/>
  <c r="DG10" i="3" s="1"/>
  <c r="CY10" i="3"/>
  <c r="CZ10" i="3"/>
  <c r="DA10" i="3"/>
  <c r="DB10" i="3"/>
  <c r="DC10" i="3"/>
  <c r="A11" i="3"/>
  <c r="Y11" i="3"/>
  <c r="CX11" i="3" s="1"/>
  <c r="CY11" i="3"/>
  <c r="CZ11" i="3"/>
  <c r="DB11" i="3" s="1"/>
  <c r="DA11" i="3"/>
  <c r="DC11" i="3"/>
  <c r="A12" i="3"/>
  <c r="Y12" i="3"/>
  <c r="CY12" i="3"/>
  <c r="CZ12" i="3"/>
  <c r="DB12" i="3" s="1"/>
  <c r="DA12" i="3"/>
  <c r="DC12" i="3"/>
  <c r="A13" i="3"/>
  <c r="Y13" i="3"/>
  <c r="CY13" i="3"/>
  <c r="CZ13" i="3"/>
  <c r="DA13" i="3"/>
  <c r="DB13" i="3"/>
  <c r="DC13" i="3"/>
  <c r="A14" i="3"/>
  <c r="Y14" i="3"/>
  <c r="CX14" i="3" s="1"/>
  <c r="CY14" i="3"/>
  <c r="CZ14" i="3"/>
  <c r="DA14" i="3"/>
  <c r="DB14" i="3"/>
  <c r="DC14" i="3"/>
  <c r="DH14" i="3"/>
  <c r="A15" i="3"/>
  <c r="Y15" i="3"/>
  <c r="CX15" i="3" s="1"/>
  <c r="CY15" i="3"/>
  <c r="CZ15" i="3"/>
  <c r="DB15" i="3" s="1"/>
  <c r="DA15" i="3"/>
  <c r="DC15" i="3"/>
  <c r="DF15" i="3"/>
  <c r="DG15" i="3"/>
  <c r="DJ15" i="3" s="1"/>
  <c r="A16" i="3"/>
  <c r="Y16" i="3"/>
  <c r="CX16" i="3"/>
  <c r="DG16" i="3" s="1"/>
  <c r="CY16" i="3"/>
  <c r="CZ16" i="3"/>
  <c r="DB16" i="3" s="1"/>
  <c r="DA16" i="3"/>
  <c r="DC16" i="3"/>
  <c r="DF16" i="3"/>
  <c r="DH16" i="3"/>
  <c r="DI16" i="3"/>
  <c r="DJ16" i="3"/>
  <c r="A17" i="3"/>
  <c r="Y17" i="3"/>
  <c r="CX17" i="3"/>
  <c r="DH17" i="3" s="1"/>
  <c r="CY17" i="3"/>
  <c r="CZ17" i="3"/>
  <c r="DA17" i="3"/>
  <c r="DB17" i="3"/>
  <c r="DC17" i="3"/>
  <c r="A18" i="3"/>
  <c r="Y18" i="3"/>
  <c r="CX18" i="3" s="1"/>
  <c r="CY18" i="3"/>
  <c r="CZ18" i="3"/>
  <c r="DA18" i="3"/>
  <c r="DB18" i="3"/>
  <c r="DC18" i="3"/>
  <c r="A19" i="3"/>
  <c r="Y19" i="3"/>
  <c r="CX19" i="3" s="1"/>
  <c r="CY19" i="3"/>
  <c r="CZ19" i="3"/>
  <c r="DB19" i="3" s="1"/>
  <c r="DA19" i="3"/>
  <c r="DC19" i="3"/>
  <c r="DF19" i="3"/>
  <c r="DJ19" i="3" s="1"/>
  <c r="DG19" i="3"/>
  <c r="A20" i="3"/>
  <c r="Y20" i="3"/>
  <c r="CX20" i="3"/>
  <c r="DG20" i="3" s="1"/>
  <c r="CY20" i="3"/>
  <c r="CZ20" i="3"/>
  <c r="DB20" i="3" s="1"/>
  <c r="DA20" i="3"/>
  <c r="DC20" i="3"/>
  <c r="DF20" i="3"/>
  <c r="DH20" i="3"/>
  <c r="DI20" i="3"/>
  <c r="DJ20" i="3"/>
  <c r="A21" i="3"/>
  <c r="Y21" i="3"/>
  <c r="CX21" i="3"/>
  <c r="DH21" i="3" s="1"/>
  <c r="CY21" i="3"/>
  <c r="CZ21" i="3"/>
  <c r="DA21" i="3"/>
  <c r="DB21" i="3"/>
  <c r="DC21" i="3"/>
  <c r="A22" i="3"/>
  <c r="Y22" i="3"/>
  <c r="CX22" i="3" s="1"/>
  <c r="CY22" i="3"/>
  <c r="CZ22" i="3"/>
  <c r="DA22" i="3"/>
  <c r="DB22" i="3"/>
  <c r="DC22" i="3"/>
  <c r="A23" i="3"/>
  <c r="Y23" i="3"/>
  <c r="CX23" i="3" s="1"/>
  <c r="CY23" i="3"/>
  <c r="CZ23" i="3"/>
  <c r="DB23" i="3" s="1"/>
  <c r="DA23" i="3"/>
  <c r="DC23" i="3"/>
  <c r="DF23" i="3"/>
  <c r="DG23" i="3"/>
  <c r="DJ23" i="3" s="1"/>
  <c r="A24" i="3"/>
  <c r="Y24" i="3"/>
  <c r="CX24" i="3"/>
  <c r="DG24" i="3" s="1"/>
  <c r="CY24" i="3"/>
  <c r="CZ24" i="3"/>
  <c r="DB24" i="3" s="1"/>
  <c r="DA24" i="3"/>
  <c r="DC24" i="3"/>
  <c r="DF24" i="3"/>
  <c r="DH24" i="3"/>
  <c r="DI24" i="3"/>
  <c r="DJ24" i="3"/>
  <c r="A25" i="3"/>
  <c r="Y25" i="3"/>
  <c r="CX25" i="3"/>
  <c r="DH25" i="3" s="1"/>
  <c r="CY25" i="3"/>
  <c r="CZ25" i="3"/>
  <c r="DA25" i="3"/>
  <c r="DB25" i="3"/>
  <c r="DC25" i="3"/>
  <c r="A26" i="3"/>
  <c r="Y26" i="3"/>
  <c r="CX26" i="3" s="1"/>
  <c r="CY26" i="3"/>
  <c r="CZ26" i="3"/>
  <c r="DA26" i="3"/>
  <c r="DB26" i="3"/>
  <c r="DC26" i="3"/>
  <c r="DH26" i="3"/>
  <c r="A27" i="3"/>
  <c r="Y27" i="3"/>
  <c r="CX27" i="3" s="1"/>
  <c r="CY27" i="3"/>
  <c r="CZ27" i="3"/>
  <c r="DB27" i="3" s="1"/>
  <c r="DA27" i="3"/>
  <c r="DC27" i="3"/>
  <c r="DF27" i="3"/>
  <c r="DJ27" i="3" s="1"/>
  <c r="DG27" i="3"/>
  <c r="A28" i="3"/>
  <c r="Y28" i="3"/>
  <c r="CX28" i="3"/>
  <c r="DG28" i="3" s="1"/>
  <c r="CY28" i="3"/>
  <c r="CZ28" i="3"/>
  <c r="DB28" i="3" s="1"/>
  <c r="DA28" i="3"/>
  <c r="DC28" i="3"/>
  <c r="DF28" i="3"/>
  <c r="DH28" i="3"/>
  <c r="DI28" i="3"/>
  <c r="DJ28" i="3"/>
  <c r="A29" i="3"/>
  <c r="Y29" i="3"/>
  <c r="CX29" i="3"/>
  <c r="DH29" i="3" s="1"/>
  <c r="CY29" i="3"/>
  <c r="CZ29" i="3"/>
  <c r="DA29" i="3"/>
  <c r="DB29" i="3"/>
  <c r="DC29" i="3"/>
  <c r="A30" i="3"/>
  <c r="Y30" i="3"/>
  <c r="CX30" i="3" s="1"/>
  <c r="CY30" i="3"/>
  <c r="CZ30" i="3"/>
  <c r="DA30" i="3"/>
  <c r="DB30" i="3"/>
  <c r="DC30" i="3"/>
  <c r="DH30" i="3"/>
  <c r="A31" i="3"/>
  <c r="Y31" i="3"/>
  <c r="CX31" i="3" s="1"/>
  <c r="CY31" i="3"/>
  <c r="CZ31" i="3"/>
  <c r="DB31" i="3" s="1"/>
  <c r="DA31" i="3"/>
  <c r="DC31" i="3"/>
  <c r="DF31" i="3"/>
  <c r="DG31" i="3"/>
  <c r="DJ31" i="3" s="1"/>
  <c r="A32" i="3"/>
  <c r="Y32" i="3"/>
  <c r="CX32" i="3"/>
  <c r="DG32" i="3" s="1"/>
  <c r="CY32" i="3"/>
  <c r="CZ32" i="3"/>
  <c r="DB32" i="3" s="1"/>
  <c r="DA32" i="3"/>
  <c r="DC32" i="3"/>
  <c r="DF32" i="3"/>
  <c r="DH32" i="3"/>
  <c r="DI32" i="3"/>
  <c r="DJ32" i="3"/>
  <c r="A33" i="3"/>
  <c r="Y33" i="3"/>
  <c r="CX33" i="3"/>
  <c r="DH33" i="3" s="1"/>
  <c r="CY33" i="3"/>
  <c r="CZ33" i="3"/>
  <c r="DA33" i="3"/>
  <c r="DB33" i="3"/>
  <c r="DC33" i="3"/>
  <c r="A34" i="3"/>
  <c r="Y34" i="3"/>
  <c r="CY34" i="3"/>
  <c r="CZ34" i="3"/>
  <c r="DA34" i="3"/>
  <c r="DB34" i="3"/>
  <c r="DC34" i="3"/>
  <c r="A35" i="3"/>
  <c r="Y35" i="3"/>
  <c r="CY35" i="3"/>
  <c r="CZ35" i="3"/>
  <c r="DB35" i="3" s="1"/>
  <c r="DA35" i="3"/>
  <c r="DC35" i="3"/>
  <c r="A36" i="3"/>
  <c r="Y36" i="3"/>
  <c r="CY36" i="3"/>
  <c r="CZ36" i="3"/>
  <c r="DB36" i="3" s="1"/>
  <c r="DA36" i="3"/>
  <c r="DC36" i="3"/>
  <c r="A37" i="3"/>
  <c r="Y37" i="3"/>
  <c r="CY37" i="3"/>
  <c r="CZ37" i="3"/>
  <c r="DA37" i="3"/>
  <c r="DB37" i="3"/>
  <c r="DC37" i="3"/>
  <c r="A38" i="3"/>
  <c r="Y38" i="3"/>
  <c r="CY38" i="3"/>
  <c r="CZ38" i="3"/>
  <c r="DA38" i="3"/>
  <c r="DB38" i="3"/>
  <c r="DC38" i="3"/>
  <c r="A39" i="3"/>
  <c r="Y39" i="3"/>
  <c r="CY39" i="3"/>
  <c r="CZ39" i="3"/>
  <c r="DB39" i="3" s="1"/>
  <c r="DA39" i="3"/>
  <c r="DC39" i="3"/>
  <c r="A40" i="3"/>
  <c r="Y40" i="3"/>
  <c r="CX40" i="3"/>
  <c r="DG40" i="3" s="1"/>
  <c r="CY40" i="3"/>
  <c r="CZ40" i="3"/>
  <c r="DB40" i="3" s="1"/>
  <c r="DA40" i="3"/>
  <c r="DC40" i="3"/>
  <c r="DF40" i="3"/>
  <c r="DH40" i="3"/>
  <c r="DI40" i="3"/>
  <c r="DJ40" i="3"/>
  <c r="A41" i="3"/>
  <c r="Y41" i="3"/>
  <c r="CX41" i="3" s="1"/>
  <c r="CY41" i="3"/>
  <c r="CZ41" i="3"/>
  <c r="DA41" i="3"/>
  <c r="DB41" i="3"/>
  <c r="DC41" i="3"/>
  <c r="DG41" i="3"/>
  <c r="DJ41" i="3" s="1"/>
  <c r="A42" i="3"/>
  <c r="Y42" i="3"/>
  <c r="CX42" i="3" s="1"/>
  <c r="DG42" i="3" s="1"/>
  <c r="CY42" i="3"/>
  <c r="CZ42" i="3"/>
  <c r="DB42" i="3" s="1"/>
  <c r="DA42" i="3"/>
  <c r="DC42" i="3"/>
  <c r="A43" i="3"/>
  <c r="Y43" i="3"/>
  <c r="CX43" i="3" s="1"/>
  <c r="CY43" i="3"/>
  <c r="CZ43" i="3"/>
  <c r="DB43" i="3" s="1"/>
  <c r="DA43" i="3"/>
  <c r="DC43" i="3"/>
  <c r="A44" i="3"/>
  <c r="Y44" i="3"/>
  <c r="CX44" i="3"/>
  <c r="DG44" i="3" s="1"/>
  <c r="CY44" i="3"/>
  <c r="CZ44" i="3"/>
  <c r="DA44" i="3"/>
  <c r="DB44" i="3"/>
  <c r="DC44" i="3"/>
  <c r="DI44" i="3"/>
  <c r="DJ44" i="3"/>
  <c r="A45" i="3"/>
  <c r="Y45" i="3"/>
  <c r="CX45" i="3"/>
  <c r="DF45" i="3" s="1"/>
  <c r="CY45" i="3"/>
  <c r="CZ45" i="3"/>
  <c r="DA45" i="3"/>
  <c r="DB45" i="3"/>
  <c r="DC45" i="3"/>
  <c r="DI45" i="3"/>
  <c r="DJ45" i="3" s="1"/>
  <c r="A46" i="3"/>
  <c r="Y46" i="3"/>
  <c r="CY46" i="3"/>
  <c r="CZ46" i="3"/>
  <c r="DB46" i="3" s="1"/>
  <c r="DA46" i="3"/>
  <c r="DC46" i="3"/>
  <c r="A47" i="3"/>
  <c r="Y47" i="3"/>
  <c r="CY47" i="3"/>
  <c r="CZ47" i="3"/>
  <c r="DB47" i="3" s="1"/>
  <c r="DA47" i="3"/>
  <c r="DC47" i="3"/>
  <c r="A48" i="3"/>
  <c r="Y48" i="3"/>
  <c r="CX48" i="3"/>
  <c r="CY48" i="3"/>
  <c r="CZ48" i="3"/>
  <c r="DA48" i="3"/>
  <c r="DB48" i="3"/>
  <c r="DC48" i="3"/>
  <c r="DI48" i="3"/>
  <c r="DJ48" i="3" s="1"/>
  <c r="A49" i="3"/>
  <c r="Y49" i="3"/>
  <c r="CX49" i="3"/>
  <c r="CY49" i="3"/>
  <c r="CZ49" i="3"/>
  <c r="DA49" i="3"/>
  <c r="DB49" i="3"/>
  <c r="DC49" i="3"/>
  <c r="DI49" i="3"/>
  <c r="A50" i="3"/>
  <c r="Y50" i="3"/>
  <c r="CX50" i="3"/>
  <c r="CY50" i="3"/>
  <c r="CZ50" i="3"/>
  <c r="DA50" i="3"/>
  <c r="DB50" i="3"/>
  <c r="DC50" i="3"/>
  <c r="A51" i="3"/>
  <c r="Y51" i="3"/>
  <c r="CX51" i="3" s="1"/>
  <c r="CY51" i="3"/>
  <c r="CZ51" i="3"/>
  <c r="DB51" i="3" s="1"/>
  <c r="DA51" i="3"/>
  <c r="DC51" i="3"/>
  <c r="DG51" i="3"/>
  <c r="A52" i="3"/>
  <c r="Y52" i="3"/>
  <c r="CX52" i="3" s="1"/>
  <c r="CY52" i="3"/>
  <c r="CZ52" i="3"/>
  <c r="DB52" i="3" s="1"/>
  <c r="DA52" i="3"/>
  <c r="DC52" i="3"/>
  <c r="DF52" i="3"/>
  <c r="A53" i="3"/>
  <c r="Y53" i="3"/>
  <c r="CX53" i="3"/>
  <c r="DG53" i="3" s="1"/>
  <c r="CY53" i="3"/>
  <c r="CZ53" i="3"/>
  <c r="DA53" i="3"/>
  <c r="DB53" i="3"/>
  <c r="DC53" i="3"/>
  <c r="DH53" i="3"/>
  <c r="DI53" i="3"/>
  <c r="A54" i="3"/>
  <c r="Y54" i="3"/>
  <c r="CX54" i="3"/>
  <c r="CY54" i="3"/>
  <c r="CZ54" i="3"/>
  <c r="DA54" i="3"/>
  <c r="DB54" i="3"/>
  <c r="DC54" i="3"/>
  <c r="DH54" i="3"/>
  <c r="A55" i="3"/>
  <c r="Y55" i="3"/>
  <c r="CX55" i="3" s="1"/>
  <c r="DG55" i="3" s="1"/>
  <c r="CY55" i="3"/>
  <c r="CZ55" i="3"/>
  <c r="DB55" i="3" s="1"/>
  <c r="DA55" i="3"/>
  <c r="DC55" i="3"/>
  <c r="A56" i="3"/>
  <c r="Y56" i="3"/>
  <c r="CX56" i="3" s="1"/>
  <c r="CY56" i="3"/>
  <c r="CZ56" i="3"/>
  <c r="DB56" i="3" s="1"/>
  <c r="DA56" i="3"/>
  <c r="DC56" i="3"/>
  <c r="A57" i="3"/>
  <c r="Y57" i="3"/>
  <c r="CX57" i="3"/>
  <c r="DG57" i="3" s="1"/>
  <c r="CY57" i="3"/>
  <c r="CZ57" i="3"/>
  <c r="DA57" i="3"/>
  <c r="DB57" i="3"/>
  <c r="DC57" i="3"/>
  <c r="DH57" i="3"/>
  <c r="DI57" i="3"/>
  <c r="DJ57" i="3" s="1"/>
  <c r="A58" i="3"/>
  <c r="Y58" i="3"/>
  <c r="CX58" i="3"/>
  <c r="CY58" i="3"/>
  <c r="CZ58" i="3"/>
  <c r="DA58" i="3"/>
  <c r="DB58" i="3"/>
  <c r="DC58" i="3"/>
  <c r="A59" i="3"/>
  <c r="Y59" i="3"/>
  <c r="CX59" i="3" s="1"/>
  <c r="CY59" i="3"/>
  <c r="CZ59" i="3"/>
  <c r="DB59" i="3" s="1"/>
  <c r="DA59" i="3"/>
  <c r="DC59" i="3"/>
  <c r="DG59" i="3"/>
  <c r="A60" i="3"/>
  <c r="Y60" i="3"/>
  <c r="CX60" i="3" s="1"/>
  <c r="CY60" i="3"/>
  <c r="CZ60" i="3"/>
  <c r="DB60" i="3" s="1"/>
  <c r="DA60" i="3"/>
  <c r="DC60" i="3"/>
  <c r="DF60" i="3"/>
  <c r="A61" i="3"/>
  <c r="Y61" i="3"/>
  <c r="CX61" i="3"/>
  <c r="DG61" i="3" s="1"/>
  <c r="CY61" i="3"/>
  <c r="CZ61" i="3"/>
  <c r="DA61" i="3"/>
  <c r="DB61" i="3"/>
  <c r="DC61" i="3"/>
  <c r="DH61" i="3"/>
  <c r="DI61" i="3"/>
  <c r="DJ61" i="3" s="1"/>
  <c r="A62" i="3"/>
  <c r="Y62" i="3"/>
  <c r="CX62" i="3"/>
  <c r="CY62" i="3"/>
  <c r="CZ62" i="3"/>
  <c r="DA62" i="3"/>
  <c r="DB62" i="3"/>
  <c r="DC62" i="3"/>
  <c r="DH62" i="3"/>
  <c r="A63" i="3"/>
  <c r="Y63" i="3"/>
  <c r="CX63" i="3" s="1"/>
  <c r="DG63" i="3" s="1"/>
  <c r="CY63" i="3"/>
  <c r="CZ63" i="3"/>
  <c r="DB63" i="3" s="1"/>
  <c r="DA63" i="3"/>
  <c r="DC63" i="3"/>
  <c r="A64" i="3"/>
  <c r="Y64" i="3"/>
  <c r="CX64" i="3" s="1"/>
  <c r="CY64" i="3"/>
  <c r="CZ64" i="3"/>
  <c r="DB64" i="3" s="1"/>
  <c r="DA64" i="3"/>
  <c r="DC64" i="3"/>
  <c r="A65" i="3"/>
  <c r="Y65" i="3"/>
  <c r="CX65" i="3"/>
  <c r="DG65" i="3" s="1"/>
  <c r="CY65" i="3"/>
  <c r="CZ65" i="3"/>
  <c r="DA65" i="3"/>
  <c r="DB65" i="3"/>
  <c r="DC65" i="3"/>
  <c r="DH65" i="3"/>
  <c r="DI65" i="3"/>
  <c r="DJ65" i="3" s="1"/>
  <c r="A66" i="3"/>
  <c r="Y66" i="3"/>
  <c r="CX66" i="3"/>
  <c r="CY66" i="3"/>
  <c r="CZ66" i="3"/>
  <c r="DA66" i="3"/>
  <c r="DB66" i="3"/>
  <c r="DC66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D26" i="1"/>
  <c r="E26" i="1"/>
  <c r="Z26" i="1"/>
  <c r="AA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L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C28" i="1"/>
  <c r="D28" i="1"/>
  <c r="AC28" i="1"/>
  <c r="AD28" i="1"/>
  <c r="AE28" i="1"/>
  <c r="AF28" i="1"/>
  <c r="CT28" i="1" s="1"/>
  <c r="S28" i="1" s="1"/>
  <c r="AG28" i="1"/>
  <c r="AH28" i="1"/>
  <c r="CV28" i="1" s="1"/>
  <c r="U28" i="1" s="1"/>
  <c r="AI28" i="1"/>
  <c r="AJ28" i="1"/>
  <c r="CX28" i="1" s="1"/>
  <c r="W28" i="1" s="1"/>
  <c r="CQ28" i="1"/>
  <c r="P28" i="1" s="1"/>
  <c r="CS28" i="1"/>
  <c r="R28" i="1" s="1"/>
  <c r="GK28" i="1" s="1"/>
  <c r="CU28" i="1"/>
  <c r="T28" i="1" s="1"/>
  <c r="CW28" i="1"/>
  <c r="V28" i="1" s="1"/>
  <c r="FR28" i="1"/>
  <c r="GL28" i="1"/>
  <c r="GO28" i="1"/>
  <c r="GP28" i="1"/>
  <c r="GV28" i="1"/>
  <c r="GX28" i="1"/>
  <c r="HC28" i="1"/>
  <c r="C29" i="1"/>
  <c r="D29" i="1"/>
  <c r="I29" i="1"/>
  <c r="K29" i="1"/>
  <c r="AC29" i="1"/>
  <c r="AD29" i="1"/>
  <c r="AE29" i="1"/>
  <c r="CS29" i="1" s="1"/>
  <c r="R29" i="1" s="1"/>
  <c r="AF29" i="1"/>
  <c r="AG29" i="1"/>
  <c r="CU29" i="1" s="1"/>
  <c r="T29" i="1" s="1"/>
  <c r="AH29" i="1"/>
  <c r="AI29" i="1"/>
  <c r="CW29" i="1" s="1"/>
  <c r="V29" i="1" s="1"/>
  <c r="AJ29" i="1"/>
  <c r="CR29" i="1"/>
  <c r="Q29" i="1" s="1"/>
  <c r="CT29" i="1"/>
  <c r="S29" i="1" s="1"/>
  <c r="CV29" i="1"/>
  <c r="U29" i="1" s="1"/>
  <c r="CX29" i="1"/>
  <c r="W29" i="1" s="1"/>
  <c r="FR29" i="1"/>
  <c r="GK29" i="1"/>
  <c r="GL29" i="1"/>
  <c r="GO29" i="1"/>
  <c r="GP29" i="1"/>
  <c r="GV29" i="1"/>
  <c r="HC29" i="1"/>
  <c r="GX29" i="1" s="1"/>
  <c r="C30" i="1"/>
  <c r="D30" i="1"/>
  <c r="P30" i="1"/>
  <c r="AC30" i="1"/>
  <c r="AD30" i="1"/>
  <c r="CR30" i="1" s="1"/>
  <c r="Q30" i="1" s="1"/>
  <c r="AE30" i="1"/>
  <c r="CS30" i="1" s="1"/>
  <c r="R30" i="1" s="1"/>
  <c r="GK30" i="1" s="1"/>
  <c r="AF30" i="1"/>
  <c r="AG30" i="1"/>
  <c r="AH30" i="1"/>
  <c r="CV30" i="1" s="1"/>
  <c r="U30" i="1" s="1"/>
  <c r="AI30" i="1"/>
  <c r="CW30" i="1" s="1"/>
  <c r="V30" i="1" s="1"/>
  <c r="AJ30" i="1"/>
  <c r="CQ30" i="1"/>
  <c r="CT30" i="1"/>
  <c r="S30" i="1" s="1"/>
  <c r="CZ30" i="1" s="1"/>
  <c r="Y30" i="1" s="1"/>
  <c r="CU30" i="1"/>
  <c r="T30" i="1" s="1"/>
  <c r="CX30" i="1"/>
  <c r="W30" i="1" s="1"/>
  <c r="FR30" i="1"/>
  <c r="GL30" i="1"/>
  <c r="GN30" i="1"/>
  <c r="GP30" i="1"/>
  <c r="GV30" i="1"/>
  <c r="HC30" i="1"/>
  <c r="GX30" i="1" s="1"/>
  <c r="C31" i="1"/>
  <c r="D31" i="1"/>
  <c r="U31" i="1"/>
  <c r="Y31" i="1"/>
  <c r="AC31" i="1"/>
  <c r="AB31" i="1" s="1"/>
  <c r="AD31" i="1"/>
  <c r="AE31" i="1"/>
  <c r="CS31" i="1" s="1"/>
  <c r="R31" i="1" s="1"/>
  <c r="GK31" i="1" s="1"/>
  <c r="AF31" i="1"/>
  <c r="AG31" i="1"/>
  <c r="AH31" i="1"/>
  <c r="AI31" i="1"/>
  <c r="CW31" i="1" s="1"/>
  <c r="V31" i="1" s="1"/>
  <c r="AJ31" i="1"/>
  <c r="CQ31" i="1"/>
  <c r="P31" i="1" s="1"/>
  <c r="CR31" i="1"/>
  <c r="Q31" i="1" s="1"/>
  <c r="CT31" i="1"/>
  <c r="S31" i="1" s="1"/>
  <c r="CY31" i="1" s="1"/>
  <c r="X31" i="1" s="1"/>
  <c r="CU31" i="1"/>
  <c r="T31" i="1" s="1"/>
  <c r="CV31" i="1"/>
  <c r="CX31" i="1"/>
  <c r="W31" i="1" s="1"/>
  <c r="CZ31" i="1"/>
  <c r="FR31" i="1"/>
  <c r="GL31" i="1"/>
  <c r="GN31" i="1"/>
  <c r="GP31" i="1"/>
  <c r="GV31" i="1"/>
  <c r="HC31" i="1" s="1"/>
  <c r="GX31" i="1" s="1"/>
  <c r="C32" i="1"/>
  <c r="D32" i="1"/>
  <c r="I32" i="1"/>
  <c r="CX12" i="3" s="1"/>
  <c r="K32" i="1"/>
  <c r="P32" i="1"/>
  <c r="X32" i="1"/>
  <c r="AC32" i="1"/>
  <c r="AD32" i="1"/>
  <c r="CR32" i="1" s="1"/>
  <c r="Q32" i="1" s="1"/>
  <c r="AE32" i="1"/>
  <c r="AF32" i="1"/>
  <c r="AG32" i="1"/>
  <c r="AH32" i="1"/>
  <c r="CV32" i="1" s="1"/>
  <c r="U32" i="1" s="1"/>
  <c r="AI32" i="1"/>
  <c r="AJ32" i="1"/>
  <c r="CQ32" i="1"/>
  <c r="CS32" i="1"/>
  <c r="R32" i="1" s="1"/>
  <c r="GK32" i="1" s="1"/>
  <c r="CT32" i="1"/>
  <c r="S32" i="1" s="1"/>
  <c r="CZ32" i="1" s="1"/>
  <c r="Y32" i="1" s="1"/>
  <c r="CU32" i="1"/>
  <c r="T32" i="1" s="1"/>
  <c r="CW32" i="1"/>
  <c r="V32" i="1" s="1"/>
  <c r="CX32" i="1"/>
  <c r="W32" i="1" s="1"/>
  <c r="CY32" i="1"/>
  <c r="FR32" i="1"/>
  <c r="GL32" i="1"/>
  <c r="GO32" i="1"/>
  <c r="GP32" i="1"/>
  <c r="GV32" i="1"/>
  <c r="HC32" i="1"/>
  <c r="GX32" i="1" s="1"/>
  <c r="C33" i="1"/>
  <c r="D33" i="1"/>
  <c r="I33" i="1"/>
  <c r="CX13" i="3" s="1"/>
  <c r="K33" i="1"/>
  <c r="W33" i="1"/>
  <c r="AC33" i="1"/>
  <c r="AD33" i="1"/>
  <c r="AE33" i="1"/>
  <c r="AF33" i="1"/>
  <c r="AG33" i="1"/>
  <c r="CU33" i="1" s="1"/>
  <c r="T33" i="1" s="1"/>
  <c r="AH33" i="1"/>
  <c r="AI33" i="1"/>
  <c r="AJ33" i="1"/>
  <c r="CR33" i="1"/>
  <c r="Q33" i="1" s="1"/>
  <c r="CS33" i="1"/>
  <c r="R33" i="1" s="1"/>
  <c r="GK33" i="1" s="1"/>
  <c r="CT33" i="1"/>
  <c r="S33" i="1" s="1"/>
  <c r="CV33" i="1"/>
  <c r="U33" i="1" s="1"/>
  <c r="CW33" i="1"/>
  <c r="V33" i="1" s="1"/>
  <c r="CX33" i="1"/>
  <c r="FR33" i="1"/>
  <c r="GL33" i="1"/>
  <c r="GN33" i="1"/>
  <c r="GO33" i="1"/>
  <c r="GV33" i="1"/>
  <c r="HC33" i="1"/>
  <c r="GX33" i="1" s="1"/>
  <c r="CJ35" i="1" s="1"/>
  <c r="B35" i="1"/>
  <c r="B26" i="1" s="1"/>
  <c r="C35" i="1"/>
  <c r="C26" i="1" s="1"/>
  <c r="D35" i="1"/>
  <c r="F35" i="1"/>
  <c r="F26" i="1" s="1"/>
  <c r="G35" i="1"/>
  <c r="G26" i="1" s="1"/>
  <c r="AE35" i="1"/>
  <c r="AI35" i="1"/>
  <c r="BX35" i="1"/>
  <c r="BX26" i="1" s="1"/>
  <c r="BY35" i="1"/>
  <c r="CK35" i="1"/>
  <c r="CK26" i="1" s="1"/>
  <c r="CL35" i="1"/>
  <c r="BC35" i="1" s="1"/>
  <c r="CM35" i="1"/>
  <c r="CM26" i="1" s="1"/>
  <c r="D65" i="1"/>
  <c r="E67" i="1"/>
  <c r="Z67" i="1"/>
  <c r="AA67" i="1"/>
  <c r="AM67" i="1"/>
  <c r="AN67" i="1"/>
  <c r="BE67" i="1"/>
  <c r="BF67" i="1"/>
  <c r="BG67" i="1"/>
  <c r="BH67" i="1"/>
  <c r="BI67" i="1"/>
  <c r="BJ67" i="1"/>
  <c r="BK67" i="1"/>
  <c r="BL67" i="1"/>
  <c r="BM67" i="1"/>
  <c r="BN67" i="1"/>
  <c r="BO67" i="1"/>
  <c r="BP67" i="1"/>
  <c r="BQ67" i="1"/>
  <c r="BR67" i="1"/>
  <c r="BS67" i="1"/>
  <c r="BT67" i="1"/>
  <c r="BU67" i="1"/>
  <c r="BV67" i="1"/>
  <c r="BW67" i="1"/>
  <c r="CN67" i="1"/>
  <c r="CO67" i="1"/>
  <c r="CP67" i="1"/>
  <c r="CQ67" i="1"/>
  <c r="CR67" i="1"/>
  <c r="CS67" i="1"/>
  <c r="CT67" i="1"/>
  <c r="CU67" i="1"/>
  <c r="CV67" i="1"/>
  <c r="CW67" i="1"/>
  <c r="CX67" i="1"/>
  <c r="CY67" i="1"/>
  <c r="CZ67" i="1"/>
  <c r="DA67" i="1"/>
  <c r="DB67" i="1"/>
  <c r="DC67" i="1"/>
  <c r="DD67" i="1"/>
  <c r="DE67" i="1"/>
  <c r="DF67" i="1"/>
  <c r="DG67" i="1"/>
  <c r="DH67" i="1"/>
  <c r="DI67" i="1"/>
  <c r="DJ67" i="1"/>
  <c r="DK67" i="1"/>
  <c r="DL67" i="1"/>
  <c r="DM67" i="1"/>
  <c r="DN67" i="1"/>
  <c r="DO67" i="1"/>
  <c r="DP67" i="1"/>
  <c r="DQ67" i="1"/>
  <c r="DR67" i="1"/>
  <c r="DS67" i="1"/>
  <c r="DT67" i="1"/>
  <c r="DU67" i="1"/>
  <c r="DV67" i="1"/>
  <c r="DW67" i="1"/>
  <c r="DX67" i="1"/>
  <c r="DY67" i="1"/>
  <c r="DZ67" i="1"/>
  <c r="EA67" i="1"/>
  <c r="EB67" i="1"/>
  <c r="EC67" i="1"/>
  <c r="ED67" i="1"/>
  <c r="EE67" i="1"/>
  <c r="EF67" i="1"/>
  <c r="EG67" i="1"/>
  <c r="EH67" i="1"/>
  <c r="EI67" i="1"/>
  <c r="EJ67" i="1"/>
  <c r="EK67" i="1"/>
  <c r="EL67" i="1"/>
  <c r="EM67" i="1"/>
  <c r="EN67" i="1"/>
  <c r="EO67" i="1"/>
  <c r="EP67" i="1"/>
  <c r="EQ67" i="1"/>
  <c r="ER67" i="1"/>
  <c r="ES67" i="1"/>
  <c r="ET67" i="1"/>
  <c r="EU67" i="1"/>
  <c r="EV67" i="1"/>
  <c r="EW67" i="1"/>
  <c r="EX67" i="1"/>
  <c r="EY67" i="1"/>
  <c r="EZ67" i="1"/>
  <c r="FA67" i="1"/>
  <c r="FB67" i="1"/>
  <c r="FC67" i="1"/>
  <c r="FD67" i="1"/>
  <c r="FE67" i="1"/>
  <c r="FF67" i="1"/>
  <c r="FG67" i="1"/>
  <c r="FH67" i="1"/>
  <c r="FI67" i="1"/>
  <c r="FJ67" i="1"/>
  <c r="FK67" i="1"/>
  <c r="FL67" i="1"/>
  <c r="FM67" i="1"/>
  <c r="FN67" i="1"/>
  <c r="FO67" i="1"/>
  <c r="FP67" i="1"/>
  <c r="FQ67" i="1"/>
  <c r="FR67" i="1"/>
  <c r="FS67" i="1"/>
  <c r="FT67" i="1"/>
  <c r="FU67" i="1"/>
  <c r="FV67" i="1"/>
  <c r="FW67" i="1"/>
  <c r="FX67" i="1"/>
  <c r="FY67" i="1"/>
  <c r="FZ67" i="1"/>
  <c r="GA67" i="1"/>
  <c r="GB67" i="1"/>
  <c r="GC67" i="1"/>
  <c r="GD67" i="1"/>
  <c r="GE67" i="1"/>
  <c r="GF67" i="1"/>
  <c r="GG67" i="1"/>
  <c r="GH67" i="1"/>
  <c r="GI67" i="1"/>
  <c r="GJ67" i="1"/>
  <c r="GK67" i="1"/>
  <c r="GL67" i="1"/>
  <c r="GM67" i="1"/>
  <c r="GN67" i="1"/>
  <c r="GO67" i="1"/>
  <c r="GP67" i="1"/>
  <c r="GQ67" i="1"/>
  <c r="GR67" i="1"/>
  <c r="GS67" i="1"/>
  <c r="GT67" i="1"/>
  <c r="GU67" i="1"/>
  <c r="GV67" i="1"/>
  <c r="GW67" i="1"/>
  <c r="GX67" i="1"/>
  <c r="C70" i="1"/>
  <c r="D70" i="1"/>
  <c r="AC70" i="1"/>
  <c r="AD70" i="1"/>
  <c r="CR70" i="1" s="1"/>
  <c r="Q70" i="1" s="1"/>
  <c r="AE70" i="1"/>
  <c r="AF70" i="1"/>
  <c r="CT70" i="1" s="1"/>
  <c r="S70" i="1" s="1"/>
  <c r="AG70" i="1"/>
  <c r="AH70" i="1"/>
  <c r="CV70" i="1" s="1"/>
  <c r="U70" i="1" s="1"/>
  <c r="AI70" i="1"/>
  <c r="AJ70" i="1"/>
  <c r="CX70" i="1" s="1"/>
  <c r="W70" i="1" s="1"/>
  <c r="CQ70" i="1"/>
  <c r="P70" i="1" s="1"/>
  <c r="CS70" i="1"/>
  <c r="R70" i="1" s="1"/>
  <c r="GK70" i="1" s="1"/>
  <c r="CU70" i="1"/>
  <c r="T70" i="1" s="1"/>
  <c r="CW70" i="1"/>
  <c r="V70" i="1" s="1"/>
  <c r="FR70" i="1"/>
  <c r="GL70" i="1"/>
  <c r="GO70" i="1"/>
  <c r="GP70" i="1"/>
  <c r="GV70" i="1"/>
  <c r="GX70" i="1"/>
  <c r="HC70" i="1"/>
  <c r="I71" i="1"/>
  <c r="AC71" i="1"/>
  <c r="AD71" i="1"/>
  <c r="AE71" i="1"/>
  <c r="AF71" i="1"/>
  <c r="CT71" i="1" s="1"/>
  <c r="S71" i="1" s="1"/>
  <c r="CZ71" i="1" s="1"/>
  <c r="Y71" i="1" s="1"/>
  <c r="AG71" i="1"/>
  <c r="AH71" i="1"/>
  <c r="CV71" i="1" s="1"/>
  <c r="U71" i="1" s="1"/>
  <c r="AI71" i="1"/>
  <c r="AJ71" i="1"/>
  <c r="CX71" i="1" s="1"/>
  <c r="W71" i="1" s="1"/>
  <c r="CQ71" i="1"/>
  <c r="P71" i="1" s="1"/>
  <c r="CS71" i="1"/>
  <c r="R71" i="1" s="1"/>
  <c r="GK71" i="1" s="1"/>
  <c r="CU71" i="1"/>
  <c r="T71" i="1" s="1"/>
  <c r="CW71" i="1"/>
  <c r="V71" i="1" s="1"/>
  <c r="CY71" i="1"/>
  <c r="X71" i="1" s="1"/>
  <c r="FR71" i="1"/>
  <c r="GL71" i="1"/>
  <c r="GO71" i="1"/>
  <c r="GP71" i="1"/>
  <c r="GV71" i="1"/>
  <c r="HC71" i="1" s="1"/>
  <c r="GX71" i="1" s="1"/>
  <c r="C72" i="1"/>
  <c r="D72" i="1"/>
  <c r="U72" i="1"/>
  <c r="AC72" i="1"/>
  <c r="AB72" i="1" s="1"/>
  <c r="AD72" i="1"/>
  <c r="AE72" i="1"/>
  <c r="CS72" i="1" s="1"/>
  <c r="R72" i="1" s="1"/>
  <c r="GK72" i="1" s="1"/>
  <c r="AF72" i="1"/>
  <c r="AG72" i="1"/>
  <c r="CU72" i="1" s="1"/>
  <c r="T72" i="1" s="1"/>
  <c r="AH72" i="1"/>
  <c r="AI72" i="1"/>
  <c r="CW72" i="1" s="1"/>
  <c r="V72" i="1" s="1"/>
  <c r="AJ72" i="1"/>
  <c r="CR72" i="1"/>
  <c r="Q72" i="1" s="1"/>
  <c r="CT72" i="1"/>
  <c r="S72" i="1" s="1"/>
  <c r="CY72" i="1" s="1"/>
  <c r="X72" i="1" s="1"/>
  <c r="CV72" i="1"/>
  <c r="CX72" i="1"/>
  <c r="W72" i="1" s="1"/>
  <c r="CZ72" i="1"/>
  <c r="Y72" i="1" s="1"/>
  <c r="FR72" i="1"/>
  <c r="GL72" i="1"/>
  <c r="GO72" i="1"/>
  <c r="GP72" i="1"/>
  <c r="GV72" i="1"/>
  <c r="HC72" i="1"/>
  <c r="GX72" i="1" s="1"/>
  <c r="I73" i="1"/>
  <c r="Q73" i="1"/>
  <c r="S73" i="1"/>
  <c r="AC73" i="1"/>
  <c r="AD73" i="1"/>
  <c r="AE73" i="1"/>
  <c r="CS73" i="1" s="1"/>
  <c r="R73" i="1" s="1"/>
  <c r="AF73" i="1"/>
  <c r="AG73" i="1"/>
  <c r="CU73" i="1" s="1"/>
  <c r="T73" i="1" s="1"/>
  <c r="AH73" i="1"/>
  <c r="AI73" i="1"/>
  <c r="CW73" i="1" s="1"/>
  <c r="V73" i="1" s="1"/>
  <c r="AJ73" i="1"/>
  <c r="CR73" i="1"/>
  <c r="CT73" i="1"/>
  <c r="CV73" i="1"/>
  <c r="U73" i="1" s="1"/>
  <c r="CX73" i="1"/>
  <c r="W73" i="1" s="1"/>
  <c r="FR73" i="1"/>
  <c r="GK73" i="1"/>
  <c r="GL73" i="1"/>
  <c r="GO73" i="1"/>
  <c r="GP73" i="1"/>
  <c r="GV73" i="1"/>
  <c r="HC73" i="1" s="1"/>
  <c r="GX73" i="1" s="1"/>
  <c r="C74" i="1"/>
  <c r="D74" i="1"/>
  <c r="P74" i="1"/>
  <c r="CP74" i="1" s="1"/>
  <c r="O74" i="1" s="1"/>
  <c r="V74" i="1"/>
  <c r="AC74" i="1"/>
  <c r="AD74" i="1"/>
  <c r="CR74" i="1" s="1"/>
  <c r="Q74" i="1" s="1"/>
  <c r="AE74" i="1"/>
  <c r="AF74" i="1"/>
  <c r="CT74" i="1" s="1"/>
  <c r="S74" i="1" s="1"/>
  <c r="CZ74" i="1" s="1"/>
  <c r="Y74" i="1" s="1"/>
  <c r="AG74" i="1"/>
  <c r="AH74" i="1"/>
  <c r="CV74" i="1" s="1"/>
  <c r="U74" i="1" s="1"/>
  <c r="AI74" i="1"/>
  <c r="AJ74" i="1"/>
  <c r="CX74" i="1" s="1"/>
  <c r="W74" i="1" s="1"/>
  <c r="CQ74" i="1"/>
  <c r="CS74" i="1"/>
  <c r="R74" i="1" s="1"/>
  <c r="CU74" i="1"/>
  <c r="T74" i="1" s="1"/>
  <c r="CW74" i="1"/>
  <c r="FR74" i="1"/>
  <c r="GL74" i="1"/>
  <c r="GO74" i="1"/>
  <c r="GP74" i="1"/>
  <c r="GV74" i="1"/>
  <c r="HC74" i="1" s="1"/>
  <c r="GX74" i="1" s="1"/>
  <c r="I75" i="1"/>
  <c r="P75" i="1"/>
  <c r="CP75" i="1" s="1"/>
  <c r="O75" i="1" s="1"/>
  <c r="R75" i="1"/>
  <c r="GK75" i="1" s="1"/>
  <c r="AC75" i="1"/>
  <c r="AD75" i="1"/>
  <c r="CR75" i="1" s="1"/>
  <c r="Q75" i="1" s="1"/>
  <c r="AE75" i="1"/>
  <c r="AF75" i="1"/>
  <c r="AB75" i="1" s="1"/>
  <c r="AG75" i="1"/>
  <c r="AH75" i="1"/>
  <c r="CV75" i="1" s="1"/>
  <c r="U75" i="1" s="1"/>
  <c r="AI75" i="1"/>
  <c r="AJ75" i="1"/>
  <c r="CX75" i="1" s="1"/>
  <c r="W75" i="1" s="1"/>
  <c r="CQ75" i="1"/>
  <c r="CS75" i="1"/>
  <c r="CT75" i="1"/>
  <c r="S75" i="1" s="1"/>
  <c r="CZ75" i="1" s="1"/>
  <c r="Y75" i="1" s="1"/>
  <c r="CU75" i="1"/>
  <c r="T75" i="1" s="1"/>
  <c r="CW75" i="1"/>
  <c r="V75" i="1" s="1"/>
  <c r="CY75" i="1"/>
  <c r="X75" i="1" s="1"/>
  <c r="FR75" i="1"/>
  <c r="GL75" i="1"/>
  <c r="GN75" i="1"/>
  <c r="GO75" i="1"/>
  <c r="GP75" i="1"/>
  <c r="GV75" i="1"/>
  <c r="GX75" i="1"/>
  <c r="HC75" i="1"/>
  <c r="C76" i="1"/>
  <c r="D76" i="1"/>
  <c r="I76" i="1"/>
  <c r="K76" i="1"/>
  <c r="AC76" i="1"/>
  <c r="CQ76" i="1" s="1"/>
  <c r="AD76" i="1"/>
  <c r="AE76" i="1"/>
  <c r="AF76" i="1"/>
  <c r="AG76" i="1"/>
  <c r="CU76" i="1" s="1"/>
  <c r="AH76" i="1"/>
  <c r="AI76" i="1"/>
  <c r="AJ76" i="1"/>
  <c r="CR76" i="1"/>
  <c r="CS76" i="1"/>
  <c r="CT76" i="1"/>
  <c r="CV76" i="1"/>
  <c r="CW76" i="1"/>
  <c r="CX76" i="1"/>
  <c r="FR76" i="1"/>
  <c r="GL76" i="1"/>
  <c r="GO76" i="1"/>
  <c r="GP76" i="1"/>
  <c r="GV76" i="1"/>
  <c r="HC76" i="1"/>
  <c r="AC77" i="1"/>
  <c r="AD77" i="1"/>
  <c r="AB77" i="1" s="1"/>
  <c r="AE77" i="1"/>
  <c r="CS77" i="1" s="1"/>
  <c r="AF77" i="1"/>
  <c r="CT77" i="1" s="1"/>
  <c r="AG77" i="1"/>
  <c r="AH77" i="1"/>
  <c r="AI77" i="1"/>
  <c r="CW77" i="1" s="1"/>
  <c r="AJ77" i="1"/>
  <c r="CX77" i="1" s="1"/>
  <c r="CQ77" i="1"/>
  <c r="CR77" i="1"/>
  <c r="CU77" i="1"/>
  <c r="CV77" i="1"/>
  <c r="FR77" i="1"/>
  <c r="GL77" i="1"/>
  <c r="GO77" i="1"/>
  <c r="GP77" i="1"/>
  <c r="GV77" i="1"/>
  <c r="HC77" i="1" s="1"/>
  <c r="C78" i="1"/>
  <c r="D78" i="1"/>
  <c r="AC78" i="1"/>
  <c r="CQ78" i="1" s="1"/>
  <c r="P78" i="1" s="1"/>
  <c r="AD78" i="1"/>
  <c r="AE78" i="1"/>
  <c r="AF78" i="1"/>
  <c r="CT78" i="1" s="1"/>
  <c r="S78" i="1" s="1"/>
  <c r="AG78" i="1"/>
  <c r="CU78" i="1" s="1"/>
  <c r="T78" i="1" s="1"/>
  <c r="AH78" i="1"/>
  <c r="AI78" i="1"/>
  <c r="AJ78" i="1"/>
  <c r="CX78" i="1" s="1"/>
  <c r="W78" i="1" s="1"/>
  <c r="CR78" i="1"/>
  <c r="Q78" i="1" s="1"/>
  <c r="CS78" i="1"/>
  <c r="R78" i="1" s="1"/>
  <c r="GK78" i="1" s="1"/>
  <c r="CV78" i="1"/>
  <c r="U78" i="1" s="1"/>
  <c r="CW78" i="1"/>
  <c r="V78" i="1" s="1"/>
  <c r="FR78" i="1"/>
  <c r="GL78" i="1"/>
  <c r="GO78" i="1"/>
  <c r="GP78" i="1"/>
  <c r="GV78" i="1"/>
  <c r="HC78" i="1" s="1"/>
  <c r="GX78" i="1" s="1"/>
  <c r="C80" i="1"/>
  <c r="D80" i="1"/>
  <c r="AC80" i="1"/>
  <c r="AD80" i="1"/>
  <c r="CR80" i="1" s="1"/>
  <c r="Q80" i="1" s="1"/>
  <c r="AE80" i="1"/>
  <c r="AF80" i="1"/>
  <c r="AG80" i="1"/>
  <c r="CU80" i="1" s="1"/>
  <c r="T80" i="1" s="1"/>
  <c r="AH80" i="1"/>
  <c r="CV80" i="1" s="1"/>
  <c r="U80" i="1" s="1"/>
  <c r="AI80" i="1"/>
  <c r="AJ80" i="1"/>
  <c r="CS80" i="1"/>
  <c r="R80" i="1" s="1"/>
  <c r="GK80" i="1" s="1"/>
  <c r="CT80" i="1"/>
  <c r="S80" i="1" s="1"/>
  <c r="CW80" i="1"/>
  <c r="V80" i="1" s="1"/>
  <c r="CX80" i="1"/>
  <c r="W80" i="1" s="1"/>
  <c r="FR80" i="1"/>
  <c r="GL80" i="1"/>
  <c r="GN80" i="1"/>
  <c r="GP80" i="1"/>
  <c r="GV80" i="1"/>
  <c r="HC80" i="1"/>
  <c r="GX80" i="1" s="1"/>
  <c r="C81" i="1"/>
  <c r="D81" i="1"/>
  <c r="P81" i="1"/>
  <c r="AC81" i="1"/>
  <c r="AD81" i="1"/>
  <c r="CR81" i="1" s="1"/>
  <c r="Q81" i="1" s="1"/>
  <c r="AE81" i="1"/>
  <c r="CS81" i="1" s="1"/>
  <c r="R81" i="1" s="1"/>
  <c r="GK81" i="1" s="1"/>
  <c r="AF81" i="1"/>
  <c r="AG81" i="1"/>
  <c r="AH81" i="1"/>
  <c r="CV81" i="1" s="1"/>
  <c r="U81" i="1" s="1"/>
  <c r="AI81" i="1"/>
  <c r="CW81" i="1" s="1"/>
  <c r="V81" i="1" s="1"/>
  <c r="AJ81" i="1"/>
  <c r="CQ81" i="1"/>
  <c r="CT81" i="1"/>
  <c r="S81" i="1" s="1"/>
  <c r="CZ81" i="1" s="1"/>
  <c r="Y81" i="1" s="1"/>
  <c r="CU81" i="1"/>
  <c r="T81" i="1" s="1"/>
  <c r="CX81" i="1"/>
  <c r="W81" i="1" s="1"/>
  <c r="FR81" i="1"/>
  <c r="GL81" i="1"/>
  <c r="GN81" i="1"/>
  <c r="GP81" i="1"/>
  <c r="GV81" i="1"/>
  <c r="HC81" i="1"/>
  <c r="GX81" i="1" s="1"/>
  <c r="C83" i="1"/>
  <c r="D83" i="1"/>
  <c r="I83" i="1"/>
  <c r="K83" i="1"/>
  <c r="AC83" i="1"/>
  <c r="AD83" i="1"/>
  <c r="CR83" i="1" s="1"/>
  <c r="Q83" i="1" s="1"/>
  <c r="AE83" i="1"/>
  <c r="AF83" i="1"/>
  <c r="AG83" i="1"/>
  <c r="CU83" i="1" s="1"/>
  <c r="T83" i="1" s="1"/>
  <c r="AH83" i="1"/>
  <c r="CV83" i="1" s="1"/>
  <c r="U83" i="1" s="1"/>
  <c r="AI83" i="1"/>
  <c r="AJ83" i="1"/>
  <c r="CS83" i="1"/>
  <c r="R83" i="1" s="1"/>
  <c r="GK83" i="1" s="1"/>
  <c r="CT83" i="1"/>
  <c r="S83" i="1" s="1"/>
  <c r="CW83" i="1"/>
  <c r="V83" i="1" s="1"/>
  <c r="CX83" i="1"/>
  <c r="W83" i="1" s="1"/>
  <c r="FR83" i="1"/>
  <c r="GL83" i="1"/>
  <c r="GO83" i="1"/>
  <c r="GP83" i="1"/>
  <c r="GV83" i="1"/>
  <c r="HC83" i="1"/>
  <c r="GX83" i="1" s="1"/>
  <c r="C84" i="1"/>
  <c r="D84" i="1"/>
  <c r="I84" i="1"/>
  <c r="K84" i="1"/>
  <c r="V84" i="1"/>
  <c r="AC84" i="1"/>
  <c r="CQ84" i="1" s="1"/>
  <c r="P84" i="1" s="1"/>
  <c r="AD84" i="1"/>
  <c r="AE84" i="1"/>
  <c r="AF84" i="1"/>
  <c r="CT84" i="1" s="1"/>
  <c r="S84" i="1" s="1"/>
  <c r="AG84" i="1"/>
  <c r="CU84" i="1" s="1"/>
  <c r="T84" i="1" s="1"/>
  <c r="AH84" i="1"/>
  <c r="AI84" i="1"/>
  <c r="AJ84" i="1"/>
  <c r="CX84" i="1" s="1"/>
  <c r="W84" i="1" s="1"/>
  <c r="CR84" i="1"/>
  <c r="Q84" i="1" s="1"/>
  <c r="CS84" i="1"/>
  <c r="R84" i="1" s="1"/>
  <c r="GK84" i="1" s="1"/>
  <c r="CV84" i="1"/>
  <c r="U84" i="1" s="1"/>
  <c r="CW84" i="1"/>
  <c r="FR84" i="1"/>
  <c r="GL84" i="1"/>
  <c r="GO84" i="1"/>
  <c r="GP84" i="1"/>
  <c r="GV84" i="1"/>
  <c r="HC84" i="1" s="1"/>
  <c r="GX84" i="1" s="1"/>
  <c r="C85" i="1"/>
  <c r="D85" i="1"/>
  <c r="AC85" i="1"/>
  <c r="AD85" i="1"/>
  <c r="CR85" i="1" s="1"/>
  <c r="Q85" i="1" s="1"/>
  <c r="AE85" i="1"/>
  <c r="AF85" i="1"/>
  <c r="AG85" i="1"/>
  <c r="CU85" i="1" s="1"/>
  <c r="T85" i="1" s="1"/>
  <c r="AH85" i="1"/>
  <c r="CV85" i="1" s="1"/>
  <c r="U85" i="1" s="1"/>
  <c r="AI85" i="1"/>
  <c r="AJ85" i="1"/>
  <c r="CS85" i="1"/>
  <c r="R85" i="1" s="1"/>
  <c r="GK85" i="1" s="1"/>
  <c r="CT85" i="1"/>
  <c r="S85" i="1" s="1"/>
  <c r="CW85" i="1"/>
  <c r="V85" i="1" s="1"/>
  <c r="CX85" i="1"/>
  <c r="W85" i="1" s="1"/>
  <c r="FR85" i="1"/>
  <c r="GL85" i="1"/>
  <c r="GN85" i="1"/>
  <c r="GP85" i="1"/>
  <c r="GV85" i="1"/>
  <c r="HC85" i="1"/>
  <c r="GX85" i="1" s="1"/>
  <c r="I86" i="1"/>
  <c r="AC86" i="1"/>
  <c r="AD86" i="1"/>
  <c r="AB86" i="1" s="1"/>
  <c r="AE86" i="1"/>
  <c r="CS86" i="1" s="1"/>
  <c r="R86" i="1" s="1"/>
  <c r="GK86" i="1" s="1"/>
  <c r="AF86" i="1"/>
  <c r="CT86" i="1" s="1"/>
  <c r="S86" i="1" s="1"/>
  <c r="CY86" i="1" s="1"/>
  <c r="X86" i="1" s="1"/>
  <c r="AG86" i="1"/>
  <c r="AH86" i="1"/>
  <c r="AI86" i="1"/>
  <c r="CW86" i="1" s="1"/>
  <c r="V86" i="1" s="1"/>
  <c r="AJ86" i="1"/>
  <c r="CX86" i="1" s="1"/>
  <c r="W86" i="1" s="1"/>
  <c r="CQ86" i="1"/>
  <c r="P86" i="1" s="1"/>
  <c r="CR86" i="1"/>
  <c r="Q86" i="1" s="1"/>
  <c r="CU86" i="1"/>
  <c r="T86" i="1" s="1"/>
  <c r="CV86" i="1"/>
  <c r="U86" i="1" s="1"/>
  <c r="CZ86" i="1"/>
  <c r="Y86" i="1" s="1"/>
  <c r="FR86" i="1"/>
  <c r="GL86" i="1"/>
  <c r="GO86" i="1"/>
  <c r="GP86" i="1"/>
  <c r="GV86" i="1"/>
  <c r="HC86" i="1" s="1"/>
  <c r="GX86" i="1" s="1"/>
  <c r="C87" i="1"/>
  <c r="D87" i="1"/>
  <c r="AC87" i="1"/>
  <c r="CQ87" i="1" s="1"/>
  <c r="P87" i="1" s="1"/>
  <c r="AD87" i="1"/>
  <c r="AE87" i="1"/>
  <c r="AF87" i="1"/>
  <c r="CT87" i="1" s="1"/>
  <c r="S87" i="1" s="1"/>
  <c r="AG87" i="1"/>
  <c r="CU87" i="1" s="1"/>
  <c r="T87" i="1" s="1"/>
  <c r="AH87" i="1"/>
  <c r="AI87" i="1"/>
  <c r="AJ87" i="1"/>
  <c r="CX87" i="1" s="1"/>
  <c r="W87" i="1" s="1"/>
  <c r="CR87" i="1"/>
  <c r="Q87" i="1" s="1"/>
  <c r="CS87" i="1"/>
  <c r="R87" i="1" s="1"/>
  <c r="GK87" i="1" s="1"/>
  <c r="CV87" i="1"/>
  <c r="U87" i="1" s="1"/>
  <c r="CW87" i="1"/>
  <c r="V87" i="1" s="1"/>
  <c r="FR87" i="1"/>
  <c r="GL87" i="1"/>
  <c r="GN87" i="1"/>
  <c r="GP87" i="1"/>
  <c r="GV87" i="1"/>
  <c r="HC87" i="1" s="1"/>
  <c r="GX87" i="1" s="1"/>
  <c r="I88" i="1"/>
  <c r="P88" i="1"/>
  <c r="AC88" i="1"/>
  <c r="AD88" i="1"/>
  <c r="CR88" i="1" s="1"/>
  <c r="Q88" i="1" s="1"/>
  <c r="AE88" i="1"/>
  <c r="CS88" i="1" s="1"/>
  <c r="R88" i="1" s="1"/>
  <c r="GK88" i="1" s="1"/>
  <c r="AF88" i="1"/>
  <c r="AG88" i="1"/>
  <c r="AH88" i="1"/>
  <c r="CV88" i="1" s="1"/>
  <c r="U88" i="1" s="1"/>
  <c r="AI88" i="1"/>
  <c r="CW88" i="1" s="1"/>
  <c r="V88" i="1" s="1"/>
  <c r="AJ88" i="1"/>
  <c r="CQ88" i="1"/>
  <c r="CT88" i="1"/>
  <c r="S88" i="1" s="1"/>
  <c r="CZ88" i="1" s="1"/>
  <c r="Y88" i="1" s="1"/>
  <c r="CU88" i="1"/>
  <c r="T88" i="1" s="1"/>
  <c r="CX88" i="1"/>
  <c r="W88" i="1" s="1"/>
  <c r="FR88" i="1"/>
  <c r="GL88" i="1"/>
  <c r="GN88" i="1"/>
  <c r="GP88" i="1"/>
  <c r="GV88" i="1"/>
  <c r="HC88" i="1"/>
  <c r="GX88" i="1" s="1"/>
  <c r="C89" i="1"/>
  <c r="D89" i="1"/>
  <c r="P89" i="1"/>
  <c r="Q89" i="1"/>
  <c r="AC89" i="1"/>
  <c r="AD89" i="1"/>
  <c r="AB89" i="1" s="1"/>
  <c r="AE89" i="1"/>
  <c r="CS89" i="1" s="1"/>
  <c r="R89" i="1" s="1"/>
  <c r="GK89" i="1" s="1"/>
  <c r="AF89" i="1"/>
  <c r="CT89" i="1" s="1"/>
  <c r="S89" i="1" s="1"/>
  <c r="AG89" i="1"/>
  <c r="AH89" i="1"/>
  <c r="AI89" i="1"/>
  <c r="CW89" i="1" s="1"/>
  <c r="V89" i="1" s="1"/>
  <c r="AJ89" i="1"/>
  <c r="CX89" i="1" s="1"/>
  <c r="W89" i="1" s="1"/>
  <c r="CQ89" i="1"/>
  <c r="CR89" i="1"/>
  <c r="CU89" i="1"/>
  <c r="T89" i="1" s="1"/>
  <c r="CV89" i="1"/>
  <c r="U89" i="1" s="1"/>
  <c r="FR89" i="1"/>
  <c r="GL89" i="1"/>
  <c r="GN89" i="1"/>
  <c r="GP89" i="1"/>
  <c r="GV89" i="1"/>
  <c r="HC89" i="1" s="1"/>
  <c r="GX89" i="1" s="1"/>
  <c r="I90" i="1"/>
  <c r="R90" i="1"/>
  <c r="GK90" i="1" s="1"/>
  <c r="AC90" i="1"/>
  <c r="AD90" i="1"/>
  <c r="CR90" i="1" s="1"/>
  <c r="Q90" i="1" s="1"/>
  <c r="AE90" i="1"/>
  <c r="AF90" i="1"/>
  <c r="CT90" i="1" s="1"/>
  <c r="S90" i="1" s="1"/>
  <c r="AG90" i="1"/>
  <c r="CU90" i="1" s="1"/>
  <c r="T90" i="1" s="1"/>
  <c r="AH90" i="1"/>
  <c r="CV90" i="1" s="1"/>
  <c r="U90" i="1" s="1"/>
  <c r="AI90" i="1"/>
  <c r="AJ90" i="1"/>
  <c r="CS90" i="1"/>
  <c r="CW90" i="1"/>
  <c r="V90" i="1" s="1"/>
  <c r="CX90" i="1"/>
  <c r="W90" i="1" s="1"/>
  <c r="FR90" i="1"/>
  <c r="GL90" i="1"/>
  <c r="GN90" i="1"/>
  <c r="GP90" i="1"/>
  <c r="GV90" i="1"/>
  <c r="GX90" i="1"/>
  <c r="HC90" i="1"/>
  <c r="B92" i="1"/>
  <c r="B67" i="1" s="1"/>
  <c r="C92" i="1"/>
  <c r="C67" i="1" s="1"/>
  <c r="D92" i="1"/>
  <c r="D67" i="1" s="1"/>
  <c r="F92" i="1"/>
  <c r="F67" i="1" s="1"/>
  <c r="G92" i="1"/>
  <c r="G67" i="1" s="1"/>
  <c r="BX92" i="1"/>
  <c r="BX67" i="1" s="1"/>
  <c r="CK92" i="1"/>
  <c r="CK67" i="1" s="1"/>
  <c r="CL92" i="1"/>
  <c r="CL67" i="1" s="1"/>
  <c r="CM92" i="1"/>
  <c r="D122" i="1"/>
  <c r="C124" i="1"/>
  <c r="E124" i="1"/>
  <c r="Z124" i="1"/>
  <c r="AA124" i="1"/>
  <c r="AM124" i="1"/>
  <c r="AN124" i="1"/>
  <c r="BE124" i="1"/>
  <c r="BF124" i="1"/>
  <c r="BG124" i="1"/>
  <c r="BH124" i="1"/>
  <c r="BI124" i="1"/>
  <c r="BJ124" i="1"/>
  <c r="BK124" i="1"/>
  <c r="BL124" i="1"/>
  <c r="BM124" i="1"/>
  <c r="BN124" i="1"/>
  <c r="BO124" i="1"/>
  <c r="BP124" i="1"/>
  <c r="BQ124" i="1"/>
  <c r="BR124" i="1"/>
  <c r="BS124" i="1"/>
  <c r="BT124" i="1"/>
  <c r="BU124" i="1"/>
  <c r="BV124" i="1"/>
  <c r="BW124" i="1"/>
  <c r="BX124" i="1"/>
  <c r="CN124" i="1"/>
  <c r="CO124" i="1"/>
  <c r="CP124" i="1"/>
  <c r="CQ124" i="1"/>
  <c r="CR124" i="1"/>
  <c r="CS124" i="1"/>
  <c r="CT124" i="1"/>
  <c r="CU124" i="1"/>
  <c r="CV124" i="1"/>
  <c r="CW124" i="1"/>
  <c r="CX124" i="1"/>
  <c r="CY124" i="1"/>
  <c r="CZ124" i="1"/>
  <c r="DA124" i="1"/>
  <c r="DB124" i="1"/>
  <c r="DC124" i="1"/>
  <c r="DD124" i="1"/>
  <c r="DE124" i="1"/>
  <c r="DF124" i="1"/>
  <c r="DG124" i="1"/>
  <c r="DH124" i="1"/>
  <c r="DI124" i="1"/>
  <c r="DJ124" i="1"/>
  <c r="DK124" i="1"/>
  <c r="DL124" i="1"/>
  <c r="DM124" i="1"/>
  <c r="DN124" i="1"/>
  <c r="DO124" i="1"/>
  <c r="DP124" i="1"/>
  <c r="DQ124" i="1"/>
  <c r="DR124" i="1"/>
  <c r="DS124" i="1"/>
  <c r="DT124" i="1"/>
  <c r="DU124" i="1"/>
  <c r="DV124" i="1"/>
  <c r="DW124" i="1"/>
  <c r="DX124" i="1"/>
  <c r="DY124" i="1"/>
  <c r="DZ124" i="1"/>
  <c r="EA124" i="1"/>
  <c r="EB124" i="1"/>
  <c r="EC124" i="1"/>
  <c r="ED124" i="1"/>
  <c r="EE124" i="1"/>
  <c r="EF124" i="1"/>
  <c r="EG124" i="1"/>
  <c r="EH124" i="1"/>
  <c r="EI124" i="1"/>
  <c r="EJ124" i="1"/>
  <c r="EK124" i="1"/>
  <c r="EL124" i="1"/>
  <c r="EM124" i="1"/>
  <c r="EN124" i="1"/>
  <c r="EO124" i="1"/>
  <c r="EP124" i="1"/>
  <c r="EQ124" i="1"/>
  <c r="ER124" i="1"/>
  <c r="ES124" i="1"/>
  <c r="ET124" i="1"/>
  <c r="EU124" i="1"/>
  <c r="EV124" i="1"/>
  <c r="EW124" i="1"/>
  <c r="EX124" i="1"/>
  <c r="EY124" i="1"/>
  <c r="EZ124" i="1"/>
  <c r="FA124" i="1"/>
  <c r="FB124" i="1"/>
  <c r="FC124" i="1"/>
  <c r="FD124" i="1"/>
  <c r="FE124" i="1"/>
  <c r="FF124" i="1"/>
  <c r="FG124" i="1"/>
  <c r="FH124" i="1"/>
  <c r="FI124" i="1"/>
  <c r="FJ124" i="1"/>
  <c r="FK124" i="1"/>
  <c r="FL124" i="1"/>
  <c r="FM124" i="1"/>
  <c r="FN124" i="1"/>
  <c r="FO124" i="1"/>
  <c r="FP124" i="1"/>
  <c r="FQ124" i="1"/>
  <c r="FR124" i="1"/>
  <c r="FS124" i="1"/>
  <c r="FT124" i="1"/>
  <c r="FU124" i="1"/>
  <c r="FV124" i="1"/>
  <c r="FW124" i="1"/>
  <c r="FX124" i="1"/>
  <c r="FY124" i="1"/>
  <c r="FZ124" i="1"/>
  <c r="GA124" i="1"/>
  <c r="GB124" i="1"/>
  <c r="GC124" i="1"/>
  <c r="GD124" i="1"/>
  <c r="GE124" i="1"/>
  <c r="GF124" i="1"/>
  <c r="GG124" i="1"/>
  <c r="GH124" i="1"/>
  <c r="GI124" i="1"/>
  <c r="GJ124" i="1"/>
  <c r="GK124" i="1"/>
  <c r="GL124" i="1"/>
  <c r="GM124" i="1"/>
  <c r="GN124" i="1"/>
  <c r="GO124" i="1"/>
  <c r="GP124" i="1"/>
  <c r="GQ124" i="1"/>
  <c r="GR124" i="1"/>
  <c r="GS124" i="1"/>
  <c r="GT124" i="1"/>
  <c r="GU124" i="1"/>
  <c r="GV124" i="1"/>
  <c r="GW124" i="1"/>
  <c r="GX124" i="1"/>
  <c r="R126" i="1"/>
  <c r="GK126" i="1" s="1"/>
  <c r="T126" i="1"/>
  <c r="X126" i="1"/>
  <c r="Y126" i="1"/>
  <c r="AC126" i="1"/>
  <c r="AD126" i="1"/>
  <c r="AB126" i="1" s="1"/>
  <c r="AE126" i="1"/>
  <c r="AF126" i="1"/>
  <c r="CT126" i="1" s="1"/>
  <c r="S126" i="1" s="1"/>
  <c r="AG126" i="1"/>
  <c r="AH126" i="1"/>
  <c r="CV126" i="1" s="1"/>
  <c r="U126" i="1" s="1"/>
  <c r="AI126" i="1"/>
  <c r="AJ126" i="1"/>
  <c r="CX126" i="1" s="1"/>
  <c r="W126" i="1" s="1"/>
  <c r="CQ126" i="1"/>
  <c r="P126" i="1" s="1"/>
  <c r="CR126" i="1"/>
  <c r="Q126" i="1" s="1"/>
  <c r="AD129" i="1" s="1"/>
  <c r="CS126" i="1"/>
  <c r="CU126" i="1"/>
  <c r="CW126" i="1"/>
  <c r="V126" i="1" s="1"/>
  <c r="AI129" i="1" s="1"/>
  <c r="CY126" i="1"/>
  <c r="CZ126" i="1"/>
  <c r="GL126" i="1"/>
  <c r="GN126" i="1"/>
  <c r="GO126" i="1"/>
  <c r="GP126" i="1"/>
  <c r="CD129" i="1" s="1"/>
  <c r="AU129" i="1" s="1"/>
  <c r="GV126" i="1"/>
  <c r="HC126" i="1" s="1"/>
  <c r="GX126" i="1" s="1"/>
  <c r="U127" i="1"/>
  <c r="W127" i="1"/>
  <c r="AC127" i="1"/>
  <c r="AD127" i="1"/>
  <c r="CR127" i="1" s="1"/>
  <c r="Q127" i="1" s="1"/>
  <c r="AE127" i="1"/>
  <c r="CS127" i="1" s="1"/>
  <c r="R127" i="1" s="1"/>
  <c r="AF127" i="1"/>
  <c r="AG127" i="1"/>
  <c r="AH127" i="1"/>
  <c r="AI127" i="1"/>
  <c r="CW127" i="1" s="1"/>
  <c r="V127" i="1" s="1"/>
  <c r="AJ127" i="1"/>
  <c r="CT127" i="1"/>
  <c r="S127" i="1" s="1"/>
  <c r="CU127" i="1"/>
  <c r="T127" i="1" s="1"/>
  <c r="CV127" i="1"/>
  <c r="CX127" i="1"/>
  <c r="CZ127" i="1"/>
  <c r="Y127" i="1" s="1"/>
  <c r="GK127" i="1"/>
  <c r="GL127" i="1"/>
  <c r="GN127" i="1"/>
  <c r="GO127" i="1"/>
  <c r="CC129" i="1" s="1"/>
  <c r="GP127" i="1"/>
  <c r="GV127" i="1"/>
  <c r="HC127" i="1"/>
  <c r="GX127" i="1" s="1"/>
  <c r="B129" i="1"/>
  <c r="B124" i="1" s="1"/>
  <c r="C129" i="1"/>
  <c r="D129" i="1"/>
  <c r="D124" i="1" s="1"/>
  <c r="F129" i="1"/>
  <c r="F124" i="1" s="1"/>
  <c r="G129" i="1"/>
  <c r="G124" i="1" s="1"/>
  <c r="R129" i="1"/>
  <c r="W129" i="1"/>
  <c r="W124" i="1" s="1"/>
  <c r="AE129" i="1"/>
  <c r="AE124" i="1" s="1"/>
  <c r="AJ129" i="1"/>
  <c r="AJ124" i="1" s="1"/>
  <c r="BX129" i="1"/>
  <c r="AO129" i="1" s="1"/>
  <c r="F133" i="1" s="1"/>
  <c r="BZ129" i="1"/>
  <c r="AQ129" i="1" s="1"/>
  <c r="CB129" i="1"/>
  <c r="CB124" i="1" s="1"/>
  <c r="CK129" i="1"/>
  <c r="CK124" i="1" s="1"/>
  <c r="CL129" i="1"/>
  <c r="CL124" i="1" s="1"/>
  <c r="CM129" i="1"/>
  <c r="CM124" i="1" s="1"/>
  <c r="D159" i="1"/>
  <c r="D161" i="1"/>
  <c r="E161" i="1"/>
  <c r="Z161" i="1"/>
  <c r="AA161" i="1"/>
  <c r="AM161" i="1"/>
  <c r="AN161" i="1"/>
  <c r="BE161" i="1"/>
  <c r="BF161" i="1"/>
  <c r="BG161" i="1"/>
  <c r="BH161" i="1"/>
  <c r="BI161" i="1"/>
  <c r="BJ161" i="1"/>
  <c r="BK161" i="1"/>
  <c r="BL161" i="1"/>
  <c r="BM161" i="1"/>
  <c r="BN161" i="1"/>
  <c r="BO161" i="1"/>
  <c r="BP161" i="1"/>
  <c r="BQ161" i="1"/>
  <c r="BR161" i="1"/>
  <c r="BS161" i="1"/>
  <c r="BT161" i="1"/>
  <c r="BU161" i="1"/>
  <c r="BV161" i="1"/>
  <c r="BW161" i="1"/>
  <c r="CN161" i="1"/>
  <c r="CO161" i="1"/>
  <c r="CP161" i="1"/>
  <c r="CQ161" i="1"/>
  <c r="CR161" i="1"/>
  <c r="CS161" i="1"/>
  <c r="CT161" i="1"/>
  <c r="CU161" i="1"/>
  <c r="CV161" i="1"/>
  <c r="CW161" i="1"/>
  <c r="CX161" i="1"/>
  <c r="CY161" i="1"/>
  <c r="CZ161" i="1"/>
  <c r="DA161" i="1"/>
  <c r="DB161" i="1"/>
  <c r="DC161" i="1"/>
  <c r="DD161" i="1"/>
  <c r="DE161" i="1"/>
  <c r="DF161" i="1"/>
  <c r="DG161" i="1"/>
  <c r="DH161" i="1"/>
  <c r="DI161" i="1"/>
  <c r="DJ161" i="1"/>
  <c r="DK161" i="1"/>
  <c r="DL161" i="1"/>
  <c r="DM161" i="1"/>
  <c r="DN161" i="1"/>
  <c r="DO161" i="1"/>
  <c r="DP161" i="1"/>
  <c r="DQ161" i="1"/>
  <c r="DR161" i="1"/>
  <c r="DS161" i="1"/>
  <c r="DT161" i="1"/>
  <c r="DU161" i="1"/>
  <c r="DV161" i="1"/>
  <c r="DW161" i="1"/>
  <c r="DX161" i="1"/>
  <c r="DY161" i="1"/>
  <c r="DZ161" i="1"/>
  <c r="EA161" i="1"/>
  <c r="EB161" i="1"/>
  <c r="EC161" i="1"/>
  <c r="ED161" i="1"/>
  <c r="EE161" i="1"/>
  <c r="EF161" i="1"/>
  <c r="EG161" i="1"/>
  <c r="EH161" i="1"/>
  <c r="EI161" i="1"/>
  <c r="EJ161" i="1"/>
  <c r="EK161" i="1"/>
  <c r="EL161" i="1"/>
  <c r="EM161" i="1"/>
  <c r="EN161" i="1"/>
  <c r="EO161" i="1"/>
  <c r="EP161" i="1"/>
  <c r="EQ161" i="1"/>
  <c r="ER161" i="1"/>
  <c r="ES161" i="1"/>
  <c r="ET161" i="1"/>
  <c r="EU161" i="1"/>
  <c r="EV161" i="1"/>
  <c r="EW161" i="1"/>
  <c r="EX161" i="1"/>
  <c r="EY161" i="1"/>
  <c r="EZ161" i="1"/>
  <c r="FA161" i="1"/>
  <c r="FB161" i="1"/>
  <c r="FC161" i="1"/>
  <c r="FD161" i="1"/>
  <c r="FE161" i="1"/>
  <c r="FF161" i="1"/>
  <c r="FG161" i="1"/>
  <c r="FH161" i="1"/>
  <c r="FI161" i="1"/>
  <c r="FJ161" i="1"/>
  <c r="FK161" i="1"/>
  <c r="FL161" i="1"/>
  <c r="FM161" i="1"/>
  <c r="FN161" i="1"/>
  <c r="FO161" i="1"/>
  <c r="FP161" i="1"/>
  <c r="FQ161" i="1"/>
  <c r="FR161" i="1"/>
  <c r="FS161" i="1"/>
  <c r="FT161" i="1"/>
  <c r="FU161" i="1"/>
  <c r="FV161" i="1"/>
  <c r="FW161" i="1"/>
  <c r="FX161" i="1"/>
  <c r="FY161" i="1"/>
  <c r="FZ161" i="1"/>
  <c r="GA161" i="1"/>
  <c r="GB161" i="1"/>
  <c r="GC161" i="1"/>
  <c r="GD161" i="1"/>
  <c r="GE161" i="1"/>
  <c r="GF161" i="1"/>
  <c r="GG161" i="1"/>
  <c r="GH161" i="1"/>
  <c r="GI161" i="1"/>
  <c r="GJ161" i="1"/>
  <c r="GK161" i="1"/>
  <c r="GL161" i="1"/>
  <c r="GM161" i="1"/>
  <c r="GN161" i="1"/>
  <c r="GO161" i="1"/>
  <c r="GP161" i="1"/>
  <c r="GQ161" i="1"/>
  <c r="GR161" i="1"/>
  <c r="GS161" i="1"/>
  <c r="GT161" i="1"/>
  <c r="GU161" i="1"/>
  <c r="GV161" i="1"/>
  <c r="GW161" i="1"/>
  <c r="GX161" i="1"/>
  <c r="C163" i="1"/>
  <c r="D163" i="1"/>
  <c r="AC163" i="1"/>
  <c r="AD163" i="1"/>
  <c r="AB163" i="1" s="1"/>
  <c r="AE163" i="1"/>
  <c r="CS163" i="1" s="1"/>
  <c r="R163" i="1" s="1"/>
  <c r="AF163" i="1"/>
  <c r="CT163" i="1" s="1"/>
  <c r="S163" i="1" s="1"/>
  <c r="AG163" i="1"/>
  <c r="AH163" i="1"/>
  <c r="AI163" i="1"/>
  <c r="CW163" i="1" s="1"/>
  <c r="V163" i="1" s="1"/>
  <c r="AJ163" i="1"/>
  <c r="CX163" i="1" s="1"/>
  <c r="W163" i="1" s="1"/>
  <c r="CQ163" i="1"/>
  <c r="P163" i="1" s="1"/>
  <c r="CR163" i="1"/>
  <c r="Q163" i="1" s="1"/>
  <c r="CU163" i="1"/>
  <c r="T163" i="1" s="1"/>
  <c r="CV163" i="1"/>
  <c r="U163" i="1" s="1"/>
  <c r="CZ163" i="1"/>
  <c r="Y163" i="1" s="1"/>
  <c r="FR163" i="1"/>
  <c r="GL163" i="1"/>
  <c r="GN163" i="1"/>
  <c r="GO163" i="1"/>
  <c r="GV163" i="1"/>
  <c r="HC163" i="1" s="1"/>
  <c r="GX163" i="1" s="1"/>
  <c r="C164" i="1"/>
  <c r="D164" i="1"/>
  <c r="AC164" i="1"/>
  <c r="CQ164" i="1" s="1"/>
  <c r="P164" i="1" s="1"/>
  <c r="AD164" i="1"/>
  <c r="AE164" i="1"/>
  <c r="AF164" i="1"/>
  <c r="CT164" i="1" s="1"/>
  <c r="S164" i="1" s="1"/>
  <c r="AG164" i="1"/>
  <c r="CU164" i="1" s="1"/>
  <c r="T164" i="1" s="1"/>
  <c r="AH164" i="1"/>
  <c r="AI164" i="1"/>
  <c r="AJ164" i="1"/>
  <c r="CX164" i="1" s="1"/>
  <c r="W164" i="1" s="1"/>
  <c r="CR164" i="1"/>
  <c r="Q164" i="1" s="1"/>
  <c r="CS164" i="1"/>
  <c r="R164" i="1" s="1"/>
  <c r="GK164" i="1" s="1"/>
  <c r="CV164" i="1"/>
  <c r="U164" i="1" s="1"/>
  <c r="CW164" i="1"/>
  <c r="V164" i="1" s="1"/>
  <c r="FR164" i="1"/>
  <c r="BY177" i="1" s="1"/>
  <c r="CI177" i="1" s="1"/>
  <c r="GL164" i="1"/>
  <c r="GN164" i="1"/>
  <c r="GO164" i="1"/>
  <c r="GV164" i="1"/>
  <c r="HC164" i="1" s="1"/>
  <c r="GX164" i="1" s="1"/>
  <c r="C165" i="1"/>
  <c r="D165" i="1"/>
  <c r="AC165" i="1"/>
  <c r="AD165" i="1"/>
  <c r="CR165" i="1" s="1"/>
  <c r="Q165" i="1" s="1"/>
  <c r="AE165" i="1"/>
  <c r="AF165" i="1"/>
  <c r="AG165" i="1"/>
  <c r="CU165" i="1" s="1"/>
  <c r="T165" i="1" s="1"/>
  <c r="AH165" i="1"/>
  <c r="CV165" i="1" s="1"/>
  <c r="U165" i="1" s="1"/>
  <c r="AI165" i="1"/>
  <c r="AJ165" i="1"/>
  <c r="CS165" i="1"/>
  <c r="R165" i="1" s="1"/>
  <c r="GK165" i="1" s="1"/>
  <c r="CT165" i="1"/>
  <c r="S165" i="1" s="1"/>
  <c r="CW165" i="1"/>
  <c r="V165" i="1" s="1"/>
  <c r="CX165" i="1"/>
  <c r="W165" i="1" s="1"/>
  <c r="FR165" i="1"/>
  <c r="GL165" i="1"/>
  <c r="GN165" i="1"/>
  <c r="GO165" i="1"/>
  <c r="CC177" i="1" s="1"/>
  <c r="GV165" i="1"/>
  <c r="HC165" i="1"/>
  <c r="GX165" i="1" s="1"/>
  <c r="C166" i="1"/>
  <c r="D166" i="1"/>
  <c r="AC166" i="1"/>
  <c r="AB166" i="1" s="1"/>
  <c r="AD166" i="1"/>
  <c r="CR166" i="1" s="1"/>
  <c r="Q166" i="1" s="1"/>
  <c r="AE166" i="1"/>
  <c r="CS166" i="1" s="1"/>
  <c r="R166" i="1" s="1"/>
  <c r="GK166" i="1" s="1"/>
  <c r="AF166" i="1"/>
  <c r="AG166" i="1"/>
  <c r="AH166" i="1"/>
  <c r="CV166" i="1" s="1"/>
  <c r="U166" i="1" s="1"/>
  <c r="AI166" i="1"/>
  <c r="CW166" i="1" s="1"/>
  <c r="V166" i="1" s="1"/>
  <c r="AJ166" i="1"/>
  <c r="CQ166" i="1"/>
  <c r="P166" i="1" s="1"/>
  <c r="CP166" i="1" s="1"/>
  <c r="O166" i="1" s="1"/>
  <c r="CT166" i="1"/>
  <c r="S166" i="1" s="1"/>
  <c r="CZ166" i="1" s="1"/>
  <c r="Y166" i="1" s="1"/>
  <c r="CU166" i="1"/>
  <c r="T166" i="1" s="1"/>
  <c r="CX166" i="1"/>
  <c r="W166" i="1" s="1"/>
  <c r="CY166" i="1"/>
  <c r="X166" i="1" s="1"/>
  <c r="FR166" i="1"/>
  <c r="GL166" i="1"/>
  <c r="GN166" i="1"/>
  <c r="GO166" i="1"/>
  <c r="GV166" i="1"/>
  <c r="HC166" i="1"/>
  <c r="GX166" i="1" s="1"/>
  <c r="C167" i="1"/>
  <c r="D167" i="1"/>
  <c r="AC167" i="1"/>
  <c r="AD167" i="1"/>
  <c r="AB167" i="1" s="1"/>
  <c r="AE167" i="1"/>
  <c r="CS167" i="1" s="1"/>
  <c r="R167" i="1" s="1"/>
  <c r="GK167" i="1" s="1"/>
  <c r="AF167" i="1"/>
  <c r="CT167" i="1" s="1"/>
  <c r="S167" i="1" s="1"/>
  <c r="CY167" i="1" s="1"/>
  <c r="X167" i="1" s="1"/>
  <c r="AG167" i="1"/>
  <c r="AH167" i="1"/>
  <c r="AI167" i="1"/>
  <c r="CW167" i="1" s="1"/>
  <c r="V167" i="1" s="1"/>
  <c r="AJ167" i="1"/>
  <c r="CX167" i="1" s="1"/>
  <c r="W167" i="1" s="1"/>
  <c r="CQ167" i="1"/>
  <c r="P167" i="1" s="1"/>
  <c r="CR167" i="1"/>
  <c r="Q167" i="1" s="1"/>
  <c r="CU167" i="1"/>
  <c r="T167" i="1" s="1"/>
  <c r="CV167" i="1"/>
  <c r="U167" i="1" s="1"/>
  <c r="FR167" i="1"/>
  <c r="GL167" i="1"/>
  <c r="GN167" i="1"/>
  <c r="GO167" i="1"/>
  <c r="GV167" i="1"/>
  <c r="HC167" i="1" s="1"/>
  <c r="GX167" i="1" s="1"/>
  <c r="C168" i="1"/>
  <c r="D168" i="1"/>
  <c r="AC168" i="1"/>
  <c r="CQ168" i="1" s="1"/>
  <c r="P168" i="1" s="1"/>
  <c r="AD168" i="1"/>
  <c r="AE168" i="1"/>
  <c r="AF168" i="1"/>
  <c r="CT168" i="1" s="1"/>
  <c r="S168" i="1" s="1"/>
  <c r="AG168" i="1"/>
  <c r="CU168" i="1" s="1"/>
  <c r="T168" i="1" s="1"/>
  <c r="AH168" i="1"/>
  <c r="AI168" i="1"/>
  <c r="AJ168" i="1"/>
  <c r="CX168" i="1" s="1"/>
  <c r="W168" i="1" s="1"/>
  <c r="CR168" i="1"/>
  <c r="Q168" i="1" s="1"/>
  <c r="CS168" i="1"/>
  <c r="R168" i="1" s="1"/>
  <c r="GK168" i="1" s="1"/>
  <c r="CV168" i="1"/>
  <c r="U168" i="1" s="1"/>
  <c r="CW168" i="1"/>
  <c r="V168" i="1" s="1"/>
  <c r="FR168" i="1"/>
  <c r="GL168" i="1"/>
  <c r="GN168" i="1"/>
  <c r="GO168" i="1"/>
  <c r="GV168" i="1"/>
  <c r="HC168" i="1" s="1"/>
  <c r="GX168" i="1" s="1"/>
  <c r="C169" i="1"/>
  <c r="D169" i="1"/>
  <c r="AC169" i="1"/>
  <c r="AD169" i="1"/>
  <c r="CR169" i="1" s="1"/>
  <c r="Q169" i="1" s="1"/>
  <c r="AE169" i="1"/>
  <c r="AF169" i="1"/>
  <c r="AG169" i="1"/>
  <c r="CU169" i="1" s="1"/>
  <c r="T169" i="1" s="1"/>
  <c r="AH169" i="1"/>
  <c r="CV169" i="1" s="1"/>
  <c r="U169" i="1" s="1"/>
  <c r="AI169" i="1"/>
  <c r="AJ169" i="1"/>
  <c r="CS169" i="1"/>
  <c r="R169" i="1" s="1"/>
  <c r="GK169" i="1" s="1"/>
  <c r="CT169" i="1"/>
  <c r="S169" i="1" s="1"/>
  <c r="CW169" i="1"/>
  <c r="V169" i="1" s="1"/>
  <c r="CX169" i="1"/>
  <c r="W169" i="1" s="1"/>
  <c r="FR169" i="1"/>
  <c r="GL169" i="1"/>
  <c r="GN169" i="1"/>
  <c r="GO169" i="1"/>
  <c r="GV169" i="1"/>
  <c r="HC169" i="1"/>
  <c r="GX169" i="1" s="1"/>
  <c r="C170" i="1"/>
  <c r="D170" i="1"/>
  <c r="X170" i="1"/>
  <c r="AC170" i="1"/>
  <c r="AB170" i="1" s="1"/>
  <c r="AD170" i="1"/>
  <c r="CR170" i="1" s="1"/>
  <c r="Q170" i="1" s="1"/>
  <c r="AE170" i="1"/>
  <c r="CS170" i="1" s="1"/>
  <c r="R170" i="1" s="1"/>
  <c r="GK170" i="1" s="1"/>
  <c r="AF170" i="1"/>
  <c r="AG170" i="1"/>
  <c r="AH170" i="1"/>
  <c r="CV170" i="1" s="1"/>
  <c r="U170" i="1" s="1"/>
  <c r="AI170" i="1"/>
  <c r="CW170" i="1" s="1"/>
  <c r="V170" i="1" s="1"/>
  <c r="AJ170" i="1"/>
  <c r="CQ170" i="1"/>
  <c r="P170" i="1" s="1"/>
  <c r="CP170" i="1" s="1"/>
  <c r="O170" i="1" s="1"/>
  <c r="CT170" i="1"/>
  <c r="S170" i="1" s="1"/>
  <c r="CZ170" i="1" s="1"/>
  <c r="Y170" i="1" s="1"/>
  <c r="CU170" i="1"/>
  <c r="T170" i="1" s="1"/>
  <c r="CX170" i="1"/>
  <c r="W170" i="1" s="1"/>
  <c r="CY170" i="1"/>
  <c r="FR170" i="1"/>
  <c r="GL170" i="1"/>
  <c r="BZ177" i="1" s="1"/>
  <c r="GN170" i="1"/>
  <c r="GO170" i="1"/>
  <c r="GV170" i="1"/>
  <c r="HC170" i="1"/>
  <c r="GX170" i="1" s="1"/>
  <c r="C171" i="1"/>
  <c r="D171" i="1"/>
  <c r="U171" i="1"/>
  <c r="AC171" i="1"/>
  <c r="AD171" i="1"/>
  <c r="AB171" i="1" s="1"/>
  <c r="AE171" i="1"/>
  <c r="CS171" i="1" s="1"/>
  <c r="R171" i="1" s="1"/>
  <c r="GK171" i="1" s="1"/>
  <c r="AF171" i="1"/>
  <c r="CT171" i="1" s="1"/>
  <c r="S171" i="1" s="1"/>
  <c r="CY171" i="1" s="1"/>
  <c r="X171" i="1" s="1"/>
  <c r="AG171" i="1"/>
  <c r="AH171" i="1"/>
  <c r="AI171" i="1"/>
  <c r="CW171" i="1" s="1"/>
  <c r="V171" i="1" s="1"/>
  <c r="AJ171" i="1"/>
  <c r="CX171" i="1" s="1"/>
  <c r="W171" i="1" s="1"/>
  <c r="CQ171" i="1"/>
  <c r="P171" i="1" s="1"/>
  <c r="CR171" i="1"/>
  <c r="Q171" i="1" s="1"/>
  <c r="CU171" i="1"/>
  <c r="T171" i="1" s="1"/>
  <c r="CV171" i="1"/>
  <c r="FR171" i="1"/>
  <c r="GL171" i="1"/>
  <c r="GN171" i="1"/>
  <c r="GO171" i="1"/>
  <c r="GV171" i="1"/>
  <c r="HC171" i="1" s="1"/>
  <c r="GX171" i="1" s="1"/>
  <c r="C172" i="1"/>
  <c r="D172" i="1"/>
  <c r="V172" i="1"/>
  <c r="AC172" i="1"/>
  <c r="CQ172" i="1" s="1"/>
  <c r="P172" i="1" s="1"/>
  <c r="AD172" i="1"/>
  <c r="AE172" i="1"/>
  <c r="AF172" i="1"/>
  <c r="CT172" i="1" s="1"/>
  <c r="S172" i="1" s="1"/>
  <c r="AG172" i="1"/>
  <c r="CU172" i="1" s="1"/>
  <c r="T172" i="1" s="1"/>
  <c r="AH172" i="1"/>
  <c r="AI172" i="1"/>
  <c r="AJ172" i="1"/>
  <c r="CX172" i="1" s="1"/>
  <c r="W172" i="1" s="1"/>
  <c r="CR172" i="1"/>
  <c r="Q172" i="1" s="1"/>
  <c r="CS172" i="1"/>
  <c r="R172" i="1" s="1"/>
  <c r="GK172" i="1" s="1"/>
  <c r="CV172" i="1"/>
  <c r="U172" i="1" s="1"/>
  <c r="CW172" i="1"/>
  <c r="FR172" i="1"/>
  <c r="GL172" i="1"/>
  <c r="GN172" i="1"/>
  <c r="GO172" i="1"/>
  <c r="GV172" i="1"/>
  <c r="GX172" i="1"/>
  <c r="HC172" i="1"/>
  <c r="C173" i="1"/>
  <c r="D173" i="1"/>
  <c r="W173" i="1"/>
  <c r="AC173" i="1"/>
  <c r="AD173" i="1"/>
  <c r="CR173" i="1" s="1"/>
  <c r="Q173" i="1" s="1"/>
  <c r="AE173" i="1"/>
  <c r="AF173" i="1"/>
  <c r="AG173" i="1"/>
  <c r="CU173" i="1" s="1"/>
  <c r="T173" i="1" s="1"/>
  <c r="AH173" i="1"/>
  <c r="CV173" i="1" s="1"/>
  <c r="U173" i="1" s="1"/>
  <c r="AI173" i="1"/>
  <c r="AJ173" i="1"/>
  <c r="CS173" i="1"/>
  <c r="R173" i="1" s="1"/>
  <c r="CT173" i="1"/>
  <c r="S173" i="1" s="1"/>
  <c r="CW173" i="1"/>
  <c r="V173" i="1" s="1"/>
  <c r="CX173" i="1"/>
  <c r="FR173" i="1"/>
  <c r="GK173" i="1"/>
  <c r="GL173" i="1"/>
  <c r="GN173" i="1"/>
  <c r="GO173" i="1"/>
  <c r="GV173" i="1"/>
  <c r="HC173" i="1"/>
  <c r="GX173" i="1" s="1"/>
  <c r="C174" i="1"/>
  <c r="D174" i="1"/>
  <c r="P174" i="1"/>
  <c r="AC174" i="1"/>
  <c r="AD174" i="1"/>
  <c r="CR174" i="1" s="1"/>
  <c r="Q174" i="1" s="1"/>
  <c r="AE174" i="1"/>
  <c r="CS174" i="1" s="1"/>
  <c r="R174" i="1" s="1"/>
  <c r="GK174" i="1" s="1"/>
  <c r="AF174" i="1"/>
  <c r="AG174" i="1"/>
  <c r="AH174" i="1"/>
  <c r="CV174" i="1" s="1"/>
  <c r="U174" i="1" s="1"/>
  <c r="AI174" i="1"/>
  <c r="CW174" i="1" s="1"/>
  <c r="V174" i="1" s="1"/>
  <c r="AJ174" i="1"/>
  <c r="CQ174" i="1"/>
  <c r="CT174" i="1"/>
  <c r="S174" i="1" s="1"/>
  <c r="CZ174" i="1" s="1"/>
  <c r="Y174" i="1" s="1"/>
  <c r="CU174" i="1"/>
  <c r="T174" i="1" s="1"/>
  <c r="CX174" i="1"/>
  <c r="W174" i="1" s="1"/>
  <c r="FR174" i="1"/>
  <c r="GL174" i="1"/>
  <c r="GN174" i="1"/>
  <c r="GO174" i="1"/>
  <c r="GV174" i="1"/>
  <c r="HC174" i="1" s="1"/>
  <c r="GX174" i="1" s="1"/>
  <c r="C175" i="1"/>
  <c r="D175" i="1"/>
  <c r="U175" i="1"/>
  <c r="AC175" i="1"/>
  <c r="AD175" i="1"/>
  <c r="AE175" i="1"/>
  <c r="CS175" i="1" s="1"/>
  <c r="R175" i="1" s="1"/>
  <c r="GK175" i="1" s="1"/>
  <c r="AF175" i="1"/>
  <c r="CT175" i="1" s="1"/>
  <c r="S175" i="1" s="1"/>
  <c r="CY175" i="1" s="1"/>
  <c r="X175" i="1" s="1"/>
  <c r="AG175" i="1"/>
  <c r="AH175" i="1"/>
  <c r="AI175" i="1"/>
  <c r="CW175" i="1" s="1"/>
  <c r="V175" i="1" s="1"/>
  <c r="AJ175" i="1"/>
  <c r="CX175" i="1" s="1"/>
  <c r="W175" i="1" s="1"/>
  <c r="CQ175" i="1"/>
  <c r="P175" i="1" s="1"/>
  <c r="CR175" i="1"/>
  <c r="Q175" i="1" s="1"/>
  <c r="CU175" i="1"/>
  <c r="T175" i="1" s="1"/>
  <c r="CV175" i="1"/>
  <c r="CZ175" i="1"/>
  <c r="Y175" i="1" s="1"/>
  <c r="FR175" i="1"/>
  <c r="GL175" i="1"/>
  <c r="GN175" i="1"/>
  <c r="GO175" i="1"/>
  <c r="GV175" i="1"/>
  <c r="HC175" i="1" s="1"/>
  <c r="GX175" i="1" s="1"/>
  <c r="B177" i="1"/>
  <c r="B161" i="1" s="1"/>
  <c r="C177" i="1"/>
  <c r="C161" i="1" s="1"/>
  <c r="D177" i="1"/>
  <c r="F177" i="1"/>
  <c r="F161" i="1" s="1"/>
  <c r="G177" i="1"/>
  <c r="G161" i="1" s="1"/>
  <c r="BD177" i="1"/>
  <c r="BD161" i="1" s="1"/>
  <c r="BX177" i="1"/>
  <c r="AO177" i="1" s="1"/>
  <c r="AO161" i="1" s="1"/>
  <c r="CK177" i="1"/>
  <c r="CK161" i="1" s="1"/>
  <c r="CL177" i="1"/>
  <c r="CL161" i="1" s="1"/>
  <c r="CM177" i="1"/>
  <c r="CM161" i="1" s="1"/>
  <c r="B207" i="1"/>
  <c r="B22" i="1" s="1"/>
  <c r="C207" i="1"/>
  <c r="C22" i="1" s="1"/>
  <c r="D207" i="1"/>
  <c r="D22" i="1" s="1"/>
  <c r="F207" i="1"/>
  <c r="F22" i="1" s="1"/>
  <c r="G207" i="1"/>
  <c r="G22" i="1" s="1"/>
  <c r="B237" i="1"/>
  <c r="B18" i="1" s="1"/>
  <c r="C237" i="1"/>
  <c r="C18" i="1" s="1"/>
  <c r="D237" i="1"/>
  <c r="D18" i="1" s="1"/>
  <c r="F237" i="1"/>
  <c r="F18" i="1" s="1"/>
  <c r="G237" i="1"/>
  <c r="G18" i="1" s="1"/>
  <c r="H189" i="6" l="1"/>
  <c r="H121" i="6"/>
  <c r="P189" i="6"/>
  <c r="O100" i="6"/>
  <c r="H315" i="6" s="1"/>
  <c r="I28" i="6"/>
  <c r="J111" i="6"/>
  <c r="X111" i="6"/>
  <c r="H100" i="6"/>
  <c r="I27" i="6"/>
  <c r="P100" i="6"/>
  <c r="Y211" i="6"/>
  <c r="I25" i="6" s="1"/>
  <c r="H84" i="6"/>
  <c r="H211" i="6"/>
  <c r="H307" i="6"/>
  <c r="P111" i="6"/>
  <c r="J311" i="6" s="1"/>
  <c r="I24" i="6"/>
  <c r="P211" i="6"/>
  <c r="J307" i="6"/>
  <c r="CZ90" i="1"/>
  <c r="Y90" i="1" s="1"/>
  <c r="CY90" i="1"/>
  <c r="X90" i="1" s="1"/>
  <c r="BZ161" i="1"/>
  <c r="CG177" i="1"/>
  <c r="AQ177" i="1"/>
  <c r="AD177" i="1"/>
  <c r="CZ173" i="1"/>
  <c r="Y173" i="1" s="1"/>
  <c r="CY173" i="1"/>
  <c r="X173" i="1" s="1"/>
  <c r="CZ165" i="1"/>
  <c r="Y165" i="1" s="1"/>
  <c r="CY165" i="1"/>
  <c r="X165" i="1" s="1"/>
  <c r="CI161" i="1"/>
  <c r="AZ177" i="1"/>
  <c r="AG177" i="1"/>
  <c r="AQ124" i="1"/>
  <c r="F139" i="1"/>
  <c r="GM170" i="1"/>
  <c r="GP170" i="1"/>
  <c r="CZ169" i="1"/>
  <c r="Y169" i="1" s="1"/>
  <c r="CY169" i="1"/>
  <c r="X169" i="1" s="1"/>
  <c r="GM166" i="1"/>
  <c r="GP166" i="1"/>
  <c r="AH177" i="1"/>
  <c r="AB169" i="1"/>
  <c r="CQ169" i="1"/>
  <c r="P169" i="1" s="1"/>
  <c r="CP169" i="1" s="1"/>
  <c r="O169" i="1" s="1"/>
  <c r="AB168" i="1"/>
  <c r="CP163" i="1"/>
  <c r="O163" i="1" s="1"/>
  <c r="AD124" i="1"/>
  <c r="Q129" i="1"/>
  <c r="AG129" i="1"/>
  <c r="CZ85" i="1"/>
  <c r="Y85" i="1" s="1"/>
  <c r="CY85" i="1"/>
  <c r="X85" i="1" s="1"/>
  <c r="CZ83" i="1"/>
  <c r="Y83" i="1" s="1"/>
  <c r="CY83" i="1"/>
  <c r="X83" i="1" s="1"/>
  <c r="CY172" i="1"/>
  <c r="X172" i="1" s="1"/>
  <c r="CZ172" i="1"/>
  <c r="Y172" i="1" s="1"/>
  <c r="AB172" i="1"/>
  <c r="CP168" i="1"/>
  <c r="O168" i="1" s="1"/>
  <c r="CZ167" i="1"/>
  <c r="Y167" i="1" s="1"/>
  <c r="CP167" i="1"/>
  <c r="O167" i="1" s="1"/>
  <c r="AU124" i="1"/>
  <c r="F148" i="1"/>
  <c r="CM67" i="1"/>
  <c r="BD92" i="1"/>
  <c r="AO92" i="1"/>
  <c r="CZ89" i="1"/>
  <c r="Y89" i="1" s="1"/>
  <c r="CY89" i="1"/>
  <c r="X89" i="1" s="1"/>
  <c r="AB80" i="1"/>
  <c r="CQ80" i="1"/>
  <c r="P80" i="1" s="1"/>
  <c r="CP80" i="1" s="1"/>
  <c r="O80" i="1" s="1"/>
  <c r="GX76" i="1"/>
  <c r="CJ92" i="1" s="1"/>
  <c r="BZ92" i="1"/>
  <c r="GK74" i="1"/>
  <c r="CY168" i="1"/>
  <c r="X168" i="1" s="1"/>
  <c r="CZ168" i="1"/>
  <c r="Y168" i="1" s="1"/>
  <c r="CC161" i="1"/>
  <c r="AT177" i="1"/>
  <c r="CX36" i="3"/>
  <c r="CX38" i="3"/>
  <c r="S76" i="1"/>
  <c r="I77" i="1"/>
  <c r="P77" i="1" s="1"/>
  <c r="R76" i="1"/>
  <c r="GK76" i="1" s="1"/>
  <c r="W76" i="1"/>
  <c r="F181" i="1"/>
  <c r="CY174" i="1"/>
  <c r="X174" i="1" s="1"/>
  <c r="AB174" i="1"/>
  <c r="AB165" i="1"/>
  <c r="CQ165" i="1"/>
  <c r="P165" i="1" s="1"/>
  <c r="CP165" i="1" s="1"/>
  <c r="O165" i="1" s="1"/>
  <c r="CY164" i="1"/>
  <c r="X164" i="1" s="1"/>
  <c r="CZ164" i="1"/>
  <c r="Y164" i="1" s="1"/>
  <c r="AL177" i="1" s="1"/>
  <c r="AB164" i="1"/>
  <c r="AJ177" i="1"/>
  <c r="AF177" i="1"/>
  <c r="CY163" i="1"/>
  <c r="X163" i="1" s="1"/>
  <c r="AK177" i="1" s="1"/>
  <c r="F153" i="1"/>
  <c r="AT129" i="1"/>
  <c r="CC124" i="1"/>
  <c r="CY127" i="1"/>
  <c r="X127" i="1" s="1"/>
  <c r="AK129" i="1" s="1"/>
  <c r="AF129" i="1"/>
  <c r="AI124" i="1"/>
  <c r="V129" i="1"/>
  <c r="CP126" i="1"/>
  <c r="O126" i="1" s="1"/>
  <c r="FR126" i="1"/>
  <c r="AC129" i="1"/>
  <c r="CP87" i="1"/>
  <c r="O87" i="1" s="1"/>
  <c r="CP86" i="1"/>
  <c r="O86" i="1" s="1"/>
  <c r="CZ80" i="1"/>
  <c r="Y80" i="1" s="1"/>
  <c r="CY80" i="1"/>
  <c r="X80" i="1" s="1"/>
  <c r="CP174" i="1"/>
  <c r="O174" i="1" s="1"/>
  <c r="BY161" i="1"/>
  <c r="AP177" i="1"/>
  <c r="CP164" i="1"/>
  <c r="O164" i="1" s="1"/>
  <c r="BZ124" i="1"/>
  <c r="CG129" i="1"/>
  <c r="F143" i="1"/>
  <c r="R124" i="1"/>
  <c r="AH129" i="1"/>
  <c r="CG92" i="1"/>
  <c r="BC177" i="1"/>
  <c r="CP175" i="1"/>
  <c r="O175" i="1" s="1"/>
  <c r="F202" i="1"/>
  <c r="AB173" i="1"/>
  <c r="CQ173" i="1"/>
  <c r="P173" i="1" s="1"/>
  <c r="CP173" i="1" s="1"/>
  <c r="O173" i="1" s="1"/>
  <c r="CP172" i="1"/>
  <c r="O172" i="1" s="1"/>
  <c r="CZ171" i="1"/>
  <c r="Y171" i="1" s="1"/>
  <c r="CP171" i="1"/>
  <c r="O171" i="1" s="1"/>
  <c r="CB177" i="1"/>
  <c r="CJ177" i="1"/>
  <c r="AI177" i="1"/>
  <c r="GK163" i="1"/>
  <c r="AE177" i="1"/>
  <c r="BB129" i="1"/>
  <c r="AB127" i="1"/>
  <c r="CQ127" i="1"/>
  <c r="P127" i="1" s="1"/>
  <c r="CJ129" i="1"/>
  <c r="CD124" i="1"/>
  <c r="AO124" i="1"/>
  <c r="CQ90" i="1"/>
  <c r="P90" i="1" s="1"/>
  <c r="CP90" i="1" s="1"/>
  <c r="O90" i="1" s="1"/>
  <c r="AB90" i="1"/>
  <c r="AB83" i="1"/>
  <c r="CQ83" i="1"/>
  <c r="P83" i="1" s="1"/>
  <c r="CP83" i="1" s="1"/>
  <c r="O83" i="1" s="1"/>
  <c r="BY92" i="1"/>
  <c r="CP78" i="1"/>
  <c r="O78" i="1" s="1"/>
  <c r="V76" i="1"/>
  <c r="Q76" i="1"/>
  <c r="GM74" i="1"/>
  <c r="AB175" i="1"/>
  <c r="BX161" i="1"/>
  <c r="BC129" i="1"/>
  <c r="AS129" i="1"/>
  <c r="AL129" i="1"/>
  <c r="GM75" i="1"/>
  <c r="V35" i="1"/>
  <c r="AI26" i="1"/>
  <c r="CP89" i="1"/>
  <c r="O89" i="1" s="1"/>
  <c r="CP88" i="1"/>
  <c r="O88" i="1" s="1"/>
  <c r="CY87" i="1"/>
  <c r="X87" i="1" s="1"/>
  <c r="CZ87" i="1"/>
  <c r="Y87" i="1" s="1"/>
  <c r="AB87" i="1"/>
  <c r="AB85" i="1"/>
  <c r="CQ85" i="1"/>
  <c r="P85" i="1" s="1"/>
  <c r="CP85" i="1" s="1"/>
  <c r="O85" i="1" s="1"/>
  <c r="CP84" i="1"/>
  <c r="O84" i="1" s="1"/>
  <c r="CP81" i="1"/>
  <c r="O81" i="1" s="1"/>
  <c r="CY78" i="1"/>
  <c r="X78" i="1" s="1"/>
  <c r="CZ78" i="1"/>
  <c r="Y78" i="1" s="1"/>
  <c r="AB78" i="1"/>
  <c r="U76" i="1"/>
  <c r="CQ73" i="1"/>
  <c r="P73" i="1" s="1"/>
  <c r="CP73" i="1" s="1"/>
  <c r="O73" i="1" s="1"/>
  <c r="AB73" i="1"/>
  <c r="BB177" i="1"/>
  <c r="BB92" i="1"/>
  <c r="CY88" i="1"/>
  <c r="X88" i="1" s="1"/>
  <c r="AB88" i="1"/>
  <c r="CY84" i="1"/>
  <c r="X84" i="1" s="1"/>
  <c r="CZ84" i="1"/>
  <c r="Y84" i="1" s="1"/>
  <c r="AB84" i="1"/>
  <c r="CY81" i="1"/>
  <c r="X81" i="1" s="1"/>
  <c r="AB81" i="1"/>
  <c r="GX77" i="1"/>
  <c r="CY73" i="1"/>
  <c r="X73" i="1" s="1"/>
  <c r="CZ73" i="1"/>
  <c r="Y73" i="1" s="1"/>
  <c r="CD92" i="1"/>
  <c r="CP70" i="1"/>
  <c r="O70" i="1" s="1"/>
  <c r="CJ26" i="1"/>
  <c r="BA35" i="1"/>
  <c r="AB74" i="1"/>
  <c r="CR71" i="1"/>
  <c r="Q71" i="1" s="1"/>
  <c r="CP71" i="1" s="1"/>
  <c r="O71" i="1" s="1"/>
  <c r="AB71" i="1"/>
  <c r="CY29" i="1"/>
  <c r="X29" i="1" s="1"/>
  <c r="CZ29" i="1"/>
  <c r="Y29" i="1" s="1"/>
  <c r="T76" i="1"/>
  <c r="P76" i="1"/>
  <c r="CP76" i="1" s="1"/>
  <c r="O76" i="1" s="1"/>
  <c r="CY70" i="1"/>
  <c r="X70" i="1" s="1"/>
  <c r="CZ70" i="1"/>
  <c r="Y70" i="1" s="1"/>
  <c r="AB70" i="1"/>
  <c r="CY33" i="1"/>
  <c r="X33" i="1" s="1"/>
  <c r="CZ33" i="1"/>
  <c r="Y33" i="1" s="1"/>
  <c r="CQ29" i="1"/>
  <c r="P29" i="1" s="1"/>
  <c r="CP29" i="1" s="1"/>
  <c r="O29" i="1" s="1"/>
  <c r="AB29" i="1"/>
  <c r="AJ35" i="1"/>
  <c r="CZ28" i="1"/>
  <c r="Y28" i="1" s="1"/>
  <c r="AL35" i="1" s="1"/>
  <c r="AF35" i="1"/>
  <c r="CY28" i="1"/>
  <c r="X28" i="1" s="1"/>
  <c r="BD129" i="1"/>
  <c r="BC92" i="1"/>
  <c r="AB76" i="1"/>
  <c r="CY74" i="1"/>
  <c r="X74" i="1" s="1"/>
  <c r="GN74" i="1" s="1"/>
  <c r="BB35" i="1"/>
  <c r="AG35" i="1"/>
  <c r="CQ72" i="1"/>
  <c r="P72" i="1" s="1"/>
  <c r="CP72" i="1" s="1"/>
  <c r="O72" i="1" s="1"/>
  <c r="R35" i="1"/>
  <c r="AE26" i="1"/>
  <c r="BZ35" i="1"/>
  <c r="CI35" i="1" s="1"/>
  <c r="CX34" i="3"/>
  <c r="BY26" i="1"/>
  <c r="AP35" i="1"/>
  <c r="CP32" i="1"/>
  <c r="O32" i="1" s="1"/>
  <c r="CP30" i="1"/>
  <c r="O30" i="1" s="1"/>
  <c r="AH35" i="1"/>
  <c r="CR28" i="1"/>
  <c r="Q28" i="1" s="1"/>
  <c r="AD35" i="1" s="1"/>
  <c r="AB28" i="1"/>
  <c r="DH43" i="3"/>
  <c r="DG43" i="3"/>
  <c r="DI43" i="3"/>
  <c r="DF43" i="3"/>
  <c r="DJ43" i="3" s="1"/>
  <c r="BC26" i="1"/>
  <c r="F51" i="1"/>
  <c r="AO35" i="1"/>
  <c r="CQ33" i="1"/>
  <c r="P33" i="1" s="1"/>
  <c r="CP33" i="1" s="1"/>
  <c r="O33" i="1" s="1"/>
  <c r="AB33" i="1"/>
  <c r="AB32" i="1"/>
  <c r="CP31" i="1"/>
  <c r="O31" i="1" s="1"/>
  <c r="CY30" i="1"/>
  <c r="X30" i="1" s="1"/>
  <c r="AB30" i="1"/>
  <c r="DH64" i="3"/>
  <c r="DI64" i="3"/>
  <c r="DJ64" i="3" s="1"/>
  <c r="DG64" i="3"/>
  <c r="DF64" i="3"/>
  <c r="DH56" i="3"/>
  <c r="DI56" i="3"/>
  <c r="DJ56" i="3" s="1"/>
  <c r="DG56" i="3"/>
  <c r="DF56" i="3"/>
  <c r="DF18" i="3"/>
  <c r="DI18" i="3"/>
  <c r="DG18" i="3"/>
  <c r="DJ18" i="3" s="1"/>
  <c r="DH18" i="3"/>
  <c r="BD35" i="1"/>
  <c r="DF66" i="3"/>
  <c r="DG66" i="3"/>
  <c r="DI66" i="3"/>
  <c r="DJ66" i="3" s="1"/>
  <c r="DI59" i="3"/>
  <c r="DJ59" i="3" s="1"/>
  <c r="DF59" i="3"/>
  <c r="DH59" i="3"/>
  <c r="DF58" i="3"/>
  <c r="DG58" i="3"/>
  <c r="DI58" i="3"/>
  <c r="DJ58" i="3" s="1"/>
  <c r="DI51" i="3"/>
  <c r="DF51" i="3"/>
  <c r="DJ51" i="3" s="1"/>
  <c r="DH51" i="3"/>
  <c r="DF50" i="3"/>
  <c r="DG50" i="3"/>
  <c r="DI50" i="3"/>
  <c r="DJ50" i="3" s="1"/>
  <c r="DF22" i="3"/>
  <c r="DI22" i="3"/>
  <c r="DJ22" i="3" s="1"/>
  <c r="DG22" i="3"/>
  <c r="CX6" i="3"/>
  <c r="DG13" i="3"/>
  <c r="DJ13" i="3" s="1"/>
  <c r="DF13" i="3"/>
  <c r="DI13" i="3"/>
  <c r="DH13" i="3"/>
  <c r="CX8" i="3"/>
  <c r="CX5" i="3"/>
  <c r="CX9" i="3"/>
  <c r="DH60" i="3"/>
  <c r="DI60" i="3"/>
  <c r="DJ60" i="3" s="1"/>
  <c r="DG60" i="3"/>
  <c r="DH52" i="3"/>
  <c r="DI52" i="3"/>
  <c r="DJ52" i="3" s="1"/>
  <c r="DG52" i="3"/>
  <c r="DF49" i="3"/>
  <c r="DJ49" i="3" s="1"/>
  <c r="DG49" i="3"/>
  <c r="DH49" i="3"/>
  <c r="CX46" i="3"/>
  <c r="CX37" i="3"/>
  <c r="DF26" i="3"/>
  <c r="DJ26" i="3" s="1"/>
  <c r="DI26" i="3"/>
  <c r="DG26" i="3"/>
  <c r="DH12" i="3"/>
  <c r="DG12" i="3"/>
  <c r="DF12" i="3"/>
  <c r="DI12" i="3"/>
  <c r="DJ12" i="3" s="1"/>
  <c r="DH66" i="3"/>
  <c r="DI63" i="3"/>
  <c r="DJ63" i="3" s="1"/>
  <c r="DF63" i="3"/>
  <c r="DH63" i="3"/>
  <c r="DF62" i="3"/>
  <c r="DG62" i="3"/>
  <c r="DI62" i="3"/>
  <c r="DJ62" i="3" s="1"/>
  <c r="DH58" i="3"/>
  <c r="DI55" i="3"/>
  <c r="DJ55" i="3" s="1"/>
  <c r="DF55" i="3"/>
  <c r="DH55" i="3"/>
  <c r="DF54" i="3"/>
  <c r="DG54" i="3"/>
  <c r="DI54" i="3"/>
  <c r="DJ54" i="3" s="1"/>
  <c r="DH50" i="3"/>
  <c r="DG48" i="3"/>
  <c r="DF48" i="3"/>
  <c r="DH48" i="3"/>
  <c r="DI42" i="3"/>
  <c r="DF42" i="3"/>
  <c r="DJ42" i="3" s="1"/>
  <c r="DH42" i="3"/>
  <c r="DF41" i="3"/>
  <c r="DI41" i="3"/>
  <c r="DH41" i="3"/>
  <c r="DF30" i="3"/>
  <c r="DI30" i="3"/>
  <c r="DG30" i="3"/>
  <c r="DJ30" i="3" s="1"/>
  <c r="DH22" i="3"/>
  <c r="DF14" i="3"/>
  <c r="DI14" i="3"/>
  <c r="DJ14" i="3" s="1"/>
  <c r="DG14" i="3"/>
  <c r="DI11" i="3"/>
  <c r="DJ11" i="3" s="1"/>
  <c r="DH11" i="3"/>
  <c r="DG11" i="3"/>
  <c r="DF11" i="3"/>
  <c r="DF2" i="3"/>
  <c r="DI2" i="3"/>
  <c r="DG2" i="3"/>
  <c r="DJ2" i="3" s="1"/>
  <c r="DF65" i="3"/>
  <c r="DF61" i="3"/>
  <c r="DF57" i="3"/>
  <c r="DF53" i="3"/>
  <c r="DJ53" i="3" s="1"/>
  <c r="CX47" i="3"/>
  <c r="DG45" i="3"/>
  <c r="DF44" i="3"/>
  <c r="CX39" i="3"/>
  <c r="DG33" i="3"/>
  <c r="DF33" i="3"/>
  <c r="DJ33" i="3" s="1"/>
  <c r="DG29" i="3"/>
  <c r="DF29" i="3"/>
  <c r="DG25" i="3"/>
  <c r="DJ25" i="3" s="1"/>
  <c r="DF25" i="3"/>
  <c r="DG21" i="3"/>
  <c r="DF21" i="3"/>
  <c r="DJ21" i="3" s="1"/>
  <c r="DG17" i="3"/>
  <c r="DJ17" i="3" s="1"/>
  <c r="DF17" i="3"/>
  <c r="DF10" i="3"/>
  <c r="DI10" i="3"/>
  <c r="DJ10" i="3" s="1"/>
  <c r="DG1" i="3"/>
  <c r="DF1" i="3"/>
  <c r="DH45" i="3"/>
  <c r="DH44" i="3"/>
  <c r="CX35" i="3"/>
  <c r="DI33" i="3"/>
  <c r="DI31" i="3"/>
  <c r="DH31" i="3"/>
  <c r="DI29" i="3"/>
  <c r="DJ29" i="3" s="1"/>
  <c r="DI27" i="3"/>
  <c r="DH27" i="3"/>
  <c r="DI25" i="3"/>
  <c r="DI23" i="3"/>
  <c r="DH23" i="3"/>
  <c r="DI21" i="3"/>
  <c r="DI19" i="3"/>
  <c r="DH19" i="3"/>
  <c r="DI17" i="3"/>
  <c r="DI15" i="3"/>
  <c r="DH15" i="3"/>
  <c r="DH10" i="3"/>
  <c r="CX7" i="3"/>
  <c r="DI3" i="3"/>
  <c r="DH3" i="3"/>
  <c r="DI1" i="3"/>
  <c r="DJ1" i="3" s="1"/>
  <c r="H213" i="6" l="1"/>
  <c r="H311" i="6"/>
  <c r="J213" i="6"/>
  <c r="J315" i="6"/>
  <c r="I23" i="6"/>
  <c r="CI26" i="1"/>
  <c r="AZ35" i="1"/>
  <c r="X129" i="1"/>
  <c r="AK124" i="1"/>
  <c r="Y177" i="1"/>
  <c r="AL161" i="1"/>
  <c r="GM71" i="1"/>
  <c r="GN71" i="1"/>
  <c r="CJ67" i="1"/>
  <c r="BA92" i="1"/>
  <c r="BD26" i="1"/>
  <c r="F60" i="1"/>
  <c r="BD207" i="1"/>
  <c r="AD26" i="1"/>
  <c r="Q35" i="1"/>
  <c r="F44" i="1"/>
  <c r="AP26" i="1"/>
  <c r="AG26" i="1"/>
  <c r="T35" i="1"/>
  <c r="BC67" i="1"/>
  <c r="F108" i="1"/>
  <c r="BC207" i="1"/>
  <c r="BB67" i="1"/>
  <c r="F105" i="1"/>
  <c r="GM85" i="1"/>
  <c r="GO85" i="1"/>
  <c r="F58" i="1"/>
  <c r="V26" i="1"/>
  <c r="BC124" i="1"/>
  <c r="F145" i="1"/>
  <c r="GM78" i="1"/>
  <c r="GN78" i="1"/>
  <c r="BA129" i="1"/>
  <c r="CJ124" i="1"/>
  <c r="R177" i="1"/>
  <c r="AE161" i="1"/>
  <c r="AS177" i="1"/>
  <c r="CB161" i="1"/>
  <c r="GM173" i="1"/>
  <c r="GP173" i="1"/>
  <c r="F193" i="1"/>
  <c r="BC161" i="1"/>
  <c r="AH124" i="1"/>
  <c r="U129" i="1"/>
  <c r="GM174" i="1"/>
  <c r="GP174" i="1"/>
  <c r="GN86" i="1"/>
  <c r="GM86" i="1"/>
  <c r="AB129" i="1"/>
  <c r="GM126" i="1"/>
  <c r="AK161" i="1"/>
  <c r="X177" i="1"/>
  <c r="CP28" i="1"/>
  <c r="O28" i="1" s="1"/>
  <c r="F195" i="1"/>
  <c r="AT161" i="1"/>
  <c r="GP167" i="1"/>
  <c r="GM167" i="1"/>
  <c r="F188" i="1"/>
  <c r="AZ161" i="1"/>
  <c r="CG161" i="1"/>
  <c r="AX177" i="1"/>
  <c r="DI35" i="3"/>
  <c r="DH35" i="3"/>
  <c r="DF35" i="3"/>
  <c r="DG35" i="3"/>
  <c r="DJ35" i="3" s="1"/>
  <c r="DH47" i="3"/>
  <c r="DF47" i="3"/>
  <c r="DG47" i="3"/>
  <c r="DI47" i="3"/>
  <c r="DJ47" i="3" s="1"/>
  <c r="DF6" i="3"/>
  <c r="DI6" i="3"/>
  <c r="DG6" i="3"/>
  <c r="DJ6" i="3" s="1"/>
  <c r="DH6" i="3"/>
  <c r="AH26" i="1"/>
  <c r="U35" i="1"/>
  <c r="F48" i="1"/>
  <c r="BB26" i="1"/>
  <c r="BB207" i="1"/>
  <c r="BD124" i="1"/>
  <c r="F154" i="1"/>
  <c r="W35" i="1"/>
  <c r="AJ26" i="1"/>
  <c r="F55" i="1"/>
  <c r="BA26" i="1"/>
  <c r="R77" i="1"/>
  <c r="GK77" i="1" s="1"/>
  <c r="BB161" i="1"/>
  <c r="F190" i="1"/>
  <c r="S77" i="1"/>
  <c r="GO88" i="1"/>
  <c r="GM88" i="1"/>
  <c r="BY67" i="1"/>
  <c r="AP92" i="1"/>
  <c r="CI92" i="1"/>
  <c r="GM90" i="1"/>
  <c r="GO90" i="1"/>
  <c r="FR127" i="1"/>
  <c r="CP127" i="1"/>
  <c r="O127" i="1" s="1"/>
  <c r="GM127" i="1" s="1"/>
  <c r="GP171" i="1"/>
  <c r="GM171" i="1"/>
  <c r="GP164" i="1"/>
  <c r="GM164" i="1"/>
  <c r="Q77" i="1"/>
  <c r="CP77" i="1" s="1"/>
  <c r="O77" i="1" s="1"/>
  <c r="GM87" i="1"/>
  <c r="GO87" i="1"/>
  <c r="F152" i="1"/>
  <c r="V124" i="1"/>
  <c r="AF161" i="1"/>
  <c r="S177" i="1"/>
  <c r="AC35" i="1"/>
  <c r="CY76" i="1"/>
  <c r="X76" i="1" s="1"/>
  <c r="GM76" i="1" s="1"/>
  <c r="CZ76" i="1"/>
  <c r="Y76" i="1" s="1"/>
  <c r="AF92" i="1"/>
  <c r="AE92" i="1"/>
  <c r="U77" i="1"/>
  <c r="AH92" i="1" s="1"/>
  <c r="AB177" i="1"/>
  <c r="GP163" i="1"/>
  <c r="GM163" i="1"/>
  <c r="U177" i="1"/>
  <c r="AH161" i="1"/>
  <c r="DI7" i="3"/>
  <c r="DH7" i="3"/>
  <c r="DF7" i="3"/>
  <c r="DG7" i="3"/>
  <c r="DJ7" i="3" s="1"/>
  <c r="DI46" i="3"/>
  <c r="DJ46" i="3" s="1"/>
  <c r="DH46" i="3"/>
  <c r="DG46" i="3"/>
  <c r="DF46" i="3"/>
  <c r="GO31" i="1"/>
  <c r="GM31" i="1"/>
  <c r="AQ35" i="1"/>
  <c r="BZ26" i="1"/>
  <c r="CG35" i="1"/>
  <c r="GM70" i="1"/>
  <c r="GN70" i="1"/>
  <c r="DH39" i="3"/>
  <c r="DI39" i="3"/>
  <c r="DG39" i="3"/>
  <c r="DF39" i="3"/>
  <c r="DJ39" i="3" s="1"/>
  <c r="DG9" i="3"/>
  <c r="DF9" i="3"/>
  <c r="DJ9" i="3" s="1"/>
  <c r="DH9" i="3"/>
  <c r="DI9" i="3"/>
  <c r="GM30" i="1"/>
  <c r="GO30" i="1"/>
  <c r="CC35" i="1" s="1"/>
  <c r="R26" i="1"/>
  <c r="F49" i="1"/>
  <c r="AK35" i="1"/>
  <c r="AD92" i="1"/>
  <c r="CD67" i="1"/>
  <c r="AU92" i="1"/>
  <c r="V77" i="1"/>
  <c r="AI92" i="1" s="1"/>
  <c r="W77" i="1"/>
  <c r="AJ92" i="1" s="1"/>
  <c r="GO81" i="1"/>
  <c r="GM81" i="1"/>
  <c r="GO89" i="1"/>
  <c r="GM89" i="1"/>
  <c r="AL124" i="1"/>
  <c r="Y129" i="1"/>
  <c r="GM83" i="1"/>
  <c r="GN83" i="1"/>
  <c r="V177" i="1"/>
  <c r="AI161" i="1"/>
  <c r="AP161" i="1"/>
  <c r="F186" i="1"/>
  <c r="P129" i="1"/>
  <c r="CE129" i="1"/>
  <c r="AC124" i="1"/>
  <c r="F147" i="1"/>
  <c r="AT124" i="1"/>
  <c r="AJ161" i="1"/>
  <c r="W177" i="1"/>
  <c r="GM165" i="1"/>
  <c r="GP165" i="1"/>
  <c r="AC177" i="1"/>
  <c r="DI38" i="3"/>
  <c r="DF38" i="3"/>
  <c r="DJ38" i="3" s="1"/>
  <c r="DG38" i="3"/>
  <c r="DH38" i="3"/>
  <c r="GM80" i="1"/>
  <c r="GO80" i="1"/>
  <c r="AO67" i="1"/>
  <c r="F96" i="1"/>
  <c r="GP168" i="1"/>
  <c r="GM168" i="1"/>
  <c r="T129" i="1"/>
  <c r="AG124" i="1"/>
  <c r="Q177" i="1"/>
  <c r="AD161" i="1"/>
  <c r="DH8" i="3"/>
  <c r="DG8" i="3"/>
  <c r="DI8" i="3"/>
  <c r="DF8" i="3"/>
  <c r="DJ8" i="3" s="1"/>
  <c r="F39" i="1"/>
  <c r="AO26" i="1"/>
  <c r="AO207" i="1"/>
  <c r="Y35" i="1"/>
  <c r="AL26" i="1"/>
  <c r="DF37" i="3"/>
  <c r="DJ37" i="3" s="1"/>
  <c r="DG37" i="3"/>
  <c r="DI37" i="3"/>
  <c r="DH37" i="3"/>
  <c r="DG5" i="3"/>
  <c r="DF5" i="3"/>
  <c r="DI5" i="3"/>
  <c r="DJ5" i="3" s="1"/>
  <c r="DH5" i="3"/>
  <c r="GP33" i="1"/>
  <c r="CD35" i="1" s="1"/>
  <c r="GM33" i="1"/>
  <c r="GM32" i="1"/>
  <c r="GN32" i="1"/>
  <c r="DF34" i="3"/>
  <c r="DI34" i="3"/>
  <c r="DJ34" i="3" s="1"/>
  <c r="DG34" i="3"/>
  <c r="DH34" i="3"/>
  <c r="GN72" i="1"/>
  <c r="GM72" i="1"/>
  <c r="S35" i="1"/>
  <c r="AF26" i="1"/>
  <c r="GM29" i="1"/>
  <c r="GN29" i="1"/>
  <c r="AC92" i="1"/>
  <c r="T77" i="1"/>
  <c r="AG92" i="1" s="1"/>
  <c r="GN73" i="1"/>
  <c r="GM73" i="1"/>
  <c r="GM84" i="1"/>
  <c r="GN84" i="1"/>
  <c r="AS124" i="1"/>
  <c r="F146" i="1"/>
  <c r="BB124" i="1"/>
  <c r="F142" i="1"/>
  <c r="BA177" i="1"/>
  <c r="CJ161" i="1"/>
  <c r="GP172" i="1"/>
  <c r="GM172" i="1"/>
  <c r="GP175" i="1"/>
  <c r="GM175" i="1"/>
  <c r="CG67" i="1"/>
  <c r="AX92" i="1"/>
  <c r="CG124" i="1"/>
  <c r="AX129" i="1"/>
  <c r="BY129" i="1"/>
  <c r="CF129" i="1" s="1"/>
  <c r="S129" i="1"/>
  <c r="AF124" i="1"/>
  <c r="DH36" i="3"/>
  <c r="DG36" i="3"/>
  <c r="DJ36" i="3" s="1"/>
  <c r="DI36" i="3"/>
  <c r="DF36" i="3"/>
  <c r="BZ67" i="1"/>
  <c r="AQ92" i="1"/>
  <c r="F117" i="1"/>
  <c r="BD67" i="1"/>
  <c r="Q124" i="1"/>
  <c r="F141" i="1"/>
  <c r="GM169" i="1"/>
  <c r="GP169" i="1"/>
  <c r="AG161" i="1"/>
  <c r="T177" i="1"/>
  <c r="F187" i="1"/>
  <c r="AQ161" i="1"/>
  <c r="CF124" i="1" l="1"/>
  <c r="AW129" i="1"/>
  <c r="AJ67" i="1"/>
  <c r="W92" i="1"/>
  <c r="AB92" i="1"/>
  <c r="AI67" i="1"/>
  <c r="V92" i="1"/>
  <c r="AH67" i="1"/>
  <c r="U92" i="1"/>
  <c r="AC161" i="1"/>
  <c r="CF177" i="1"/>
  <c r="P177" i="1"/>
  <c r="CH177" i="1"/>
  <c r="CE177" i="1"/>
  <c r="U161" i="1"/>
  <c r="F199" i="1"/>
  <c r="S124" i="1"/>
  <c r="F144" i="1"/>
  <c r="AX67" i="1"/>
  <c r="F99" i="1"/>
  <c r="AG67" i="1"/>
  <c r="T92" i="1"/>
  <c r="AU35" i="1"/>
  <c r="CD26" i="1"/>
  <c r="W161" i="1"/>
  <c r="F201" i="1"/>
  <c r="P124" i="1"/>
  <c r="F132" i="1"/>
  <c r="F200" i="1"/>
  <c r="V161" i="1"/>
  <c r="AB161" i="1"/>
  <c r="O177" i="1"/>
  <c r="BB22" i="1"/>
  <c r="F220" i="1"/>
  <c r="BB237" i="1"/>
  <c r="CA129" i="1"/>
  <c r="BA67" i="1"/>
  <c r="F112" i="1"/>
  <c r="T161" i="1"/>
  <c r="F198" i="1"/>
  <c r="AC67" i="1"/>
  <c r="CH92" i="1"/>
  <c r="CF92" i="1"/>
  <c r="P92" i="1"/>
  <c r="CE92" i="1"/>
  <c r="T124" i="1"/>
  <c r="F150" i="1"/>
  <c r="AD67" i="1"/>
  <c r="Q92" i="1"/>
  <c r="AQ26" i="1"/>
  <c r="F45" i="1"/>
  <c r="AQ207" i="1"/>
  <c r="O129" i="1"/>
  <c r="AB124" i="1"/>
  <c r="BA124" i="1"/>
  <c r="F149" i="1"/>
  <c r="BD22" i="1"/>
  <c r="BD237" i="1"/>
  <c r="F232" i="1"/>
  <c r="F155" i="1"/>
  <c r="X124" i="1"/>
  <c r="AX124" i="1"/>
  <c r="F136" i="1"/>
  <c r="CC92" i="1"/>
  <c r="CC26" i="1"/>
  <c r="AT35" i="1"/>
  <c r="CA177" i="1"/>
  <c r="AE67" i="1"/>
  <c r="R92" i="1"/>
  <c r="AC26" i="1"/>
  <c r="CH35" i="1"/>
  <c r="P35" i="1"/>
  <c r="CE35" i="1"/>
  <c r="CF35" i="1"/>
  <c r="CI67" i="1"/>
  <c r="AZ92" i="1"/>
  <c r="GN76" i="1"/>
  <c r="F203" i="1"/>
  <c r="X161" i="1"/>
  <c r="F151" i="1"/>
  <c r="U124" i="1"/>
  <c r="T26" i="1"/>
  <c r="F56" i="1"/>
  <c r="T207" i="1"/>
  <c r="AZ26" i="1"/>
  <c r="F46" i="1"/>
  <c r="AQ67" i="1"/>
  <c r="F102" i="1"/>
  <c r="CI129" i="1"/>
  <c r="AP129" i="1"/>
  <c r="BY124" i="1"/>
  <c r="CH129" i="1"/>
  <c r="W26" i="1"/>
  <c r="F59" i="1"/>
  <c r="F184" i="1"/>
  <c r="AX161" i="1"/>
  <c r="GM28" i="1"/>
  <c r="CA35" i="1" s="1"/>
  <c r="AB35" i="1"/>
  <c r="GN28" i="1"/>
  <c r="CB35" i="1" s="1"/>
  <c r="AS161" i="1"/>
  <c r="F194" i="1"/>
  <c r="S26" i="1"/>
  <c r="F50" i="1"/>
  <c r="S207" i="1"/>
  <c r="Y26" i="1"/>
  <c r="F62" i="1"/>
  <c r="AK26" i="1"/>
  <c r="X35" i="1"/>
  <c r="BA161" i="1"/>
  <c r="F197" i="1"/>
  <c r="AO22" i="1"/>
  <c r="F211" i="1"/>
  <c r="AO237" i="1"/>
  <c r="Q161" i="1"/>
  <c r="F189" i="1"/>
  <c r="CE124" i="1"/>
  <c r="AV129" i="1"/>
  <c r="Y124" i="1"/>
  <c r="F156" i="1"/>
  <c r="AU67" i="1"/>
  <c r="F111" i="1"/>
  <c r="CG26" i="1"/>
  <c r="AX35" i="1"/>
  <c r="CD177" i="1"/>
  <c r="S92" i="1"/>
  <c r="AF67" i="1"/>
  <c r="F192" i="1"/>
  <c r="S161" i="1"/>
  <c r="AP67" i="1"/>
  <c r="F101" i="1"/>
  <c r="CY77" i="1"/>
  <c r="X77" i="1" s="1"/>
  <c r="GN77" i="1" s="1"/>
  <c r="CB92" i="1" s="1"/>
  <c r="CZ77" i="1"/>
  <c r="Y77" i="1" s="1"/>
  <c r="AL92" i="1" s="1"/>
  <c r="BA207" i="1"/>
  <c r="U26" i="1"/>
  <c r="F57" i="1"/>
  <c r="U207" i="1"/>
  <c r="F191" i="1"/>
  <c r="R161" i="1"/>
  <c r="BC22" i="1"/>
  <c r="BC237" i="1"/>
  <c r="F223" i="1"/>
  <c r="Q26" i="1"/>
  <c r="F47" i="1"/>
  <c r="Y161" i="1"/>
  <c r="F204" i="1"/>
  <c r="CB67" i="1" l="1"/>
  <c r="AS92" i="1"/>
  <c r="F42" i="1"/>
  <c r="AX26" i="1"/>
  <c r="AX207" i="1"/>
  <c r="AZ67" i="1"/>
  <c r="F103" i="1"/>
  <c r="P26" i="1"/>
  <c r="F38" i="1"/>
  <c r="P207" i="1"/>
  <c r="Q67" i="1"/>
  <c r="F104" i="1"/>
  <c r="CE67" i="1"/>
  <c r="AV92" i="1"/>
  <c r="CH161" i="1"/>
  <c r="AY177" i="1"/>
  <c r="U67" i="1"/>
  <c r="F114" i="1"/>
  <c r="W67" i="1"/>
  <c r="F116" i="1"/>
  <c r="CB26" i="1"/>
  <c r="AS35" i="1"/>
  <c r="CI124" i="1"/>
  <c r="AZ129" i="1"/>
  <c r="AY35" i="1"/>
  <c r="CH26" i="1"/>
  <c r="AR177" i="1"/>
  <c r="CA161" i="1"/>
  <c r="CC67" i="1"/>
  <c r="AT92" i="1"/>
  <c r="AQ22" i="1"/>
  <c r="AQ237" i="1"/>
  <c r="F217" i="1"/>
  <c r="P67" i="1"/>
  <c r="F95" i="1"/>
  <c r="CA124" i="1"/>
  <c r="AR129" i="1"/>
  <c r="F179" i="1"/>
  <c r="O161" i="1"/>
  <c r="F180" i="1"/>
  <c r="P161" i="1"/>
  <c r="GM77" i="1"/>
  <c r="CA92" i="1" s="1"/>
  <c r="S22" i="1"/>
  <c r="F222" i="1"/>
  <c r="S237" i="1"/>
  <c r="O92" i="1"/>
  <c r="AB67" i="1"/>
  <c r="BA22" i="1"/>
  <c r="F227" i="1"/>
  <c r="BA237" i="1"/>
  <c r="S67" i="1"/>
  <c r="F107" i="1"/>
  <c r="F134" i="1"/>
  <c r="AV124" i="1"/>
  <c r="AO18" i="1"/>
  <c r="F241" i="1"/>
  <c r="AB26" i="1"/>
  <c r="O35" i="1"/>
  <c r="W207" i="1"/>
  <c r="AY129" i="1"/>
  <c r="CH124" i="1"/>
  <c r="AK92" i="1"/>
  <c r="CF26" i="1"/>
  <c r="AW35" i="1"/>
  <c r="CF67" i="1"/>
  <c r="AW92" i="1"/>
  <c r="BB18" i="1"/>
  <c r="F250" i="1"/>
  <c r="AU26" i="1"/>
  <c r="F54" i="1"/>
  <c r="AW177" i="1"/>
  <c r="CF161" i="1"/>
  <c r="V67" i="1"/>
  <c r="F115" i="1"/>
  <c r="V207" i="1"/>
  <c r="AW124" i="1"/>
  <c r="F135" i="1"/>
  <c r="AP124" i="1"/>
  <c r="F138" i="1"/>
  <c r="O124" i="1"/>
  <c r="F131" i="1"/>
  <c r="Q207" i="1"/>
  <c r="BC18" i="1"/>
  <c r="F253" i="1"/>
  <c r="U22" i="1"/>
  <c r="U237" i="1"/>
  <c r="F229" i="1"/>
  <c r="AL67" i="1"/>
  <c r="Y92" i="1"/>
  <c r="CD161" i="1"/>
  <c r="AU177" i="1"/>
  <c r="X26" i="1"/>
  <c r="F61" i="1"/>
  <c r="CA26" i="1"/>
  <c r="AR35" i="1"/>
  <c r="T22" i="1"/>
  <c r="T237" i="1"/>
  <c r="F228" i="1"/>
  <c r="CE26" i="1"/>
  <c r="AV35" i="1"/>
  <c r="R67" i="1"/>
  <c r="F106" i="1"/>
  <c r="R207" i="1"/>
  <c r="AT26" i="1"/>
  <c r="F53" i="1"/>
  <c r="AT207" i="1"/>
  <c r="BD18" i="1"/>
  <c r="F262" i="1"/>
  <c r="CH67" i="1"/>
  <c r="AY92" i="1"/>
  <c r="T67" i="1"/>
  <c r="F113" i="1"/>
  <c r="AV177" i="1"/>
  <c r="CE161" i="1"/>
  <c r="AP207" i="1"/>
  <c r="F196" i="1" l="1"/>
  <c r="AU161" i="1"/>
  <c r="V22" i="1"/>
  <c r="F230" i="1"/>
  <c r="V237" i="1"/>
  <c r="AW161" i="1"/>
  <c r="F183" i="1"/>
  <c r="AW26" i="1"/>
  <c r="F41" i="1"/>
  <c r="AW207" i="1"/>
  <c r="AY124" i="1"/>
  <c r="F137" i="1"/>
  <c r="AQ18" i="1"/>
  <c r="F247" i="1"/>
  <c r="F140" i="1"/>
  <c r="AZ124" i="1"/>
  <c r="AZ207" i="1"/>
  <c r="AY161" i="1"/>
  <c r="F185" i="1"/>
  <c r="AV161" i="1"/>
  <c r="F182" i="1"/>
  <c r="T18" i="1"/>
  <c r="F258" i="1"/>
  <c r="U18" i="1"/>
  <c r="F259" i="1"/>
  <c r="Q22" i="1"/>
  <c r="Q237" i="1"/>
  <c r="F219" i="1"/>
  <c r="AU207" i="1"/>
  <c r="W22" i="1"/>
  <c r="F231" i="1"/>
  <c r="W237" i="1"/>
  <c r="AR161" i="1"/>
  <c r="F205" i="1"/>
  <c r="AY67" i="1"/>
  <c r="F100" i="1"/>
  <c r="AV26" i="1"/>
  <c r="F40" i="1"/>
  <c r="AV207" i="1"/>
  <c r="Y67" i="1"/>
  <c r="F119" i="1"/>
  <c r="Y207" i="1"/>
  <c r="AK67" i="1"/>
  <c r="X92" i="1"/>
  <c r="O26" i="1"/>
  <c r="F37" i="1"/>
  <c r="O207" i="1"/>
  <c r="BA18" i="1"/>
  <c r="F257" i="1"/>
  <c r="O67" i="1"/>
  <c r="F94" i="1"/>
  <c r="CA67" i="1"/>
  <c r="AR92" i="1"/>
  <c r="AT67" i="1"/>
  <c r="F110" i="1"/>
  <c r="AS26" i="1"/>
  <c r="F52" i="1"/>
  <c r="AS207" i="1"/>
  <c r="AV67" i="1"/>
  <c r="F97" i="1"/>
  <c r="P22" i="1"/>
  <c r="F210" i="1"/>
  <c r="P237" i="1"/>
  <c r="AS67" i="1"/>
  <c r="F109" i="1"/>
  <c r="AT22" i="1"/>
  <c r="F225" i="1"/>
  <c r="F16" i="2" s="1"/>
  <c r="F18" i="2" s="1"/>
  <c r="AT237" i="1"/>
  <c r="AW67" i="1"/>
  <c r="F98" i="1"/>
  <c r="AP22" i="1"/>
  <c r="F216" i="1"/>
  <c r="G16" i="2" s="1"/>
  <c r="G18" i="2" s="1"/>
  <c r="AP237" i="1"/>
  <c r="R22" i="1"/>
  <c r="F221" i="1"/>
  <c r="J16" i="2" s="1"/>
  <c r="J18" i="2" s="1"/>
  <c r="R237" i="1"/>
  <c r="AR26" i="1"/>
  <c r="F63" i="1"/>
  <c r="AR207" i="1"/>
  <c r="S18" i="1"/>
  <c r="F252" i="1"/>
  <c r="AR124" i="1"/>
  <c r="F157" i="1"/>
  <c r="AY26" i="1"/>
  <c r="F43" i="1"/>
  <c r="AY207" i="1"/>
  <c r="AX22" i="1"/>
  <c r="F214" i="1"/>
  <c r="AX237" i="1"/>
  <c r="AV22" i="1" l="1"/>
  <c r="F212" i="1"/>
  <c r="AV237" i="1"/>
  <c r="Q18" i="1"/>
  <c r="F249" i="1"/>
  <c r="AY22" i="1"/>
  <c r="AY237" i="1"/>
  <c r="F215" i="1"/>
  <c r="AS22" i="1"/>
  <c r="AS237" i="1"/>
  <c r="F224" i="1"/>
  <c r="E16" i="2" s="1"/>
  <c r="Y22" i="1"/>
  <c r="F234" i="1"/>
  <c r="Y237" i="1"/>
  <c r="AR22" i="1"/>
  <c r="F235" i="1"/>
  <c r="AR237" i="1"/>
  <c r="P18" i="1"/>
  <c r="F240" i="1"/>
  <c r="O22" i="1"/>
  <c r="F209" i="1"/>
  <c r="O237" i="1"/>
  <c r="AX18" i="1"/>
  <c r="F244" i="1"/>
  <c r="AP18" i="1"/>
  <c r="F246" i="1"/>
  <c r="F120" i="1"/>
  <c r="AR67" i="1"/>
  <c r="AU22" i="1"/>
  <c r="F226" i="1"/>
  <c r="H16" i="2" s="1"/>
  <c r="H18" i="2" s="1"/>
  <c r="AU237" i="1"/>
  <c r="AZ22" i="1"/>
  <c r="F218" i="1"/>
  <c r="AZ237" i="1"/>
  <c r="AW22" i="1"/>
  <c r="F213" i="1"/>
  <c r="AW237" i="1"/>
  <c r="R18" i="1"/>
  <c r="F251" i="1"/>
  <c r="AT18" i="1"/>
  <c r="F255" i="1"/>
  <c r="X67" i="1"/>
  <c r="F118" i="1"/>
  <c r="X207" i="1"/>
  <c r="W18" i="1"/>
  <c r="F261" i="1"/>
  <c r="V18" i="1"/>
  <c r="F260" i="1"/>
  <c r="X22" i="1" l="1"/>
  <c r="X237" i="1"/>
  <c r="F233" i="1"/>
  <c r="AU18" i="1"/>
  <c r="F256" i="1"/>
  <c r="I16" i="2"/>
  <c r="I18" i="2" s="1"/>
  <c r="E18" i="2"/>
  <c r="AY18" i="1"/>
  <c r="F245" i="1"/>
  <c r="AV18" i="1"/>
  <c r="F242" i="1"/>
  <c r="O18" i="1"/>
  <c r="F239" i="1"/>
  <c r="Y18" i="1"/>
  <c r="F264" i="1"/>
  <c r="AS18" i="1"/>
  <c r="F254" i="1"/>
  <c r="AZ18" i="1"/>
  <c r="F248" i="1"/>
  <c r="AW18" i="1"/>
  <c r="F243" i="1"/>
  <c r="AR18" i="1"/>
  <c r="F265" i="1"/>
  <c r="X18" i="1" l="1"/>
  <c r="F263" i="1"/>
</calcChain>
</file>

<file path=xl/sharedStrings.xml><?xml version="1.0" encoding="utf-8"?>
<sst xmlns="http://schemas.openxmlformats.org/spreadsheetml/2006/main" count="3972" uniqueCount="387">
  <si>
    <t>Smeta.RU  (495) 974-1589</t>
  </si>
  <si>
    <t>_PS_</t>
  </si>
  <si>
    <t>Smeta.RU</t>
  </si>
  <si>
    <t/>
  </si>
  <si>
    <t>Новый объект</t>
  </si>
  <si>
    <t>Рек-ция КТП-1370 Ветеран МО</t>
  </si>
  <si>
    <t>Сметные нормы списания</t>
  </si>
  <si>
    <t>Коды ОКП для ТСН-2001 МГЭ</t>
  </si>
  <si>
    <t>ТСН-2001 (МГЭ) - Новое строительство</t>
  </si>
  <si>
    <t>Типовой расчет для ТСН-2001 МГЭ (Строительство), Доп 48</t>
  </si>
  <si>
    <t>Территориальные сметные нормативы для Москвы ТСН-2001 (МГЭ)</t>
  </si>
  <si>
    <t>Поправки для ТСН-2001 от 21.10.2020 г. доп.58</t>
  </si>
  <si>
    <t>Территориальные сметные нормативы для Москвы (ТСН-2001)</t>
  </si>
  <si>
    <t>ТЕР</t>
  </si>
  <si>
    <t>Новая локальная смета</t>
  </si>
  <si>
    <t>Новый раздел</t>
  </si>
  <si>
    <t>Демонтажные работы</t>
  </si>
  <si>
    <t>1</t>
  </si>
  <si>
    <t>3.7-1-2</t>
  </si>
  <si>
    <t>Демонтаж. Укладка блоков и плит ленточных фундаментов при глубине котлована до 4 м, масса конструкций до 1,5 т</t>
  </si>
  <si>
    <t>100 шт.</t>
  </si>
  <si>
    <t>ТСН-2001.3 Доп. 62, Сб. 7, т. 1, поз. 2</t>
  </si>
  <si>
    <t>Поправка: ТСН-2001.6. О.П. п.23.4  Наименование: Демонтаж. Инженерных систем</t>
  </si>
  <si>
    <t>)*0</t>
  </si>
  <si>
    <t>)*0,3</t>
  </si>
  <si>
    <t>Строительные работы</t>
  </si>
  <si>
    <t>ТСН-2001.3-7. 7-1...7-30, 7-31-1...7-31-6</t>
  </si>
  <si>
    <t>ТСН-2001.3-7-1</t>
  </si>
  <si>
    <t>Поправка: ТСН-2001.6. О.П. п.23.4</t>
  </si>
  <si>
    <t>2</t>
  </si>
  <si>
    <t>3.7-56-3</t>
  </si>
  <si>
    <t>Демонтаж. Установка монтажных изделий массой до 20 кг (Прим.: Обвязка фунтамента уголком)</t>
  </si>
  <si>
    <t>1 т стальных элементов</t>
  </si>
  <si>
    <t>ТСН-2001.3 Доп. 56, Сб. 7, т. 56, поз. 3</t>
  </si>
  <si>
    <t>ТСН-2001.3-7. 7-54-4...7-54-12, 7-55...7-63</t>
  </si>
  <si>
    <t>ТСН-2001.3-7-7</t>
  </si>
  <si>
    <t>3</t>
  </si>
  <si>
    <t>4.8-25-1</t>
  </si>
  <si>
    <t>Демонтаж. Подстанция комплектная напряжением до 10 кВ с трансформатором мощностью до 400 кВА</t>
  </si>
  <si>
    <t>1 подстанция</t>
  </si>
  <si>
    <t>ТСН-2001.4. Доп. 1-42. Сб. 8, т. 25, поз. 1</t>
  </si>
  <si>
    <t>Поправка: ТСН-2001.4. О.П. п.6.1.1.3  Наименование: Демонтаж оборудования, предназначенного в лом</t>
  </si>
  <si>
    <t>Монтаж оборудования</t>
  </si>
  <si>
    <t>ТСН-2001.4-8. 8-1...8-27</t>
  </si>
  <si>
    <t>ТСН-2001.4-8-1</t>
  </si>
  <si>
    <t>Поправка: ТСН-2001.4. О.П. п.6.1.1.3</t>
  </si>
  <si>
    <t>4</t>
  </si>
  <si>
    <t>4.8-42-2</t>
  </si>
  <si>
    <t>Демонтаж. Трансформаторы, автотрансформаторы и реакторы, трансформатор силовой, автотрансформатор или масляный реактор, масса до 3 т</t>
  </si>
  <si>
    <t>1  ШТ.</t>
  </si>
  <si>
    <t>ТСН-2001.4. Доп. 1-42. Сб. 8, т. 42, поз. 2</t>
  </si>
  <si>
    <t>ТСН-2001.4-8. 8-28...8-72</t>
  </si>
  <si>
    <t>ТСН-2001.4-8-2</t>
  </si>
  <si>
    <t>5</t>
  </si>
  <si>
    <t>6.69-19-1</t>
  </si>
  <si>
    <t>Погрузка и выгрузка вручную строительного мусора на транспортные средства</t>
  </si>
  <si>
    <t>1 Т</t>
  </si>
  <si>
    <t>ТСН-2001.6. Доп. 1-42. Сб. 69, т. 19, поз. 1</t>
  </si>
  <si>
    <t>Ремонтно-строительные работы</t>
  </si>
  <si>
    <t>ТСН-2001.6-69. 69-1...69-49</t>
  </si>
  <si>
    <t>ТСН-2001.6-69-1</t>
  </si>
  <si>
    <t>6</t>
  </si>
  <si>
    <t>15.2-20-10</t>
  </si>
  <si>
    <t>Перевозка строительного мусора на расстояние до 20 км автосамосвалами грузоподъемностью до 10 т</t>
  </si>
  <si>
    <t>т</t>
  </si>
  <si>
    <t>ТСН-2001.15 Доп. 54, Сб. 2, т. 20, поз. 10</t>
  </si>
  <si>
    <t>Транспортные затраты</t>
  </si>
  <si>
    <t>ТСН-2001.15-1. Перевозка строительного мусора</t>
  </si>
  <si>
    <t>ТСН-2001.15-1-5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</si>
  <si>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</si>
  <si>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</si>
  <si>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</si>
  <si>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</si>
  <si>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</si>
  <si>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</si>
  <si>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</si>
  <si>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</si>
  <si>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</si>
  <si>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</si>
  <si>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</si>
  <si>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</si>
  <si>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</si>
  <si>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</si>
  <si>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</si>
  <si>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</si>
  <si>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</si>
  <si>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</si>
  <si>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</si>
  <si>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</si>
  <si>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</si>
  <si>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</si>
  <si>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</si>
  <si>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</si>
  <si>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</si>
  <si>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</si>
  <si>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</si>
  <si>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</si>
  <si>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</si>
  <si>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</si>
  <si>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</si>
  <si>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</si>
  <si>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</si>
  <si>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</si>
  <si>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</si>
  <si>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</si>
  <si>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</si>
  <si>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</si>
  <si>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</si>
  <si>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</si>
  <si>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</si>
  <si>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</si>
  <si>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</si>
  <si>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</si>
  <si>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</si>
  <si>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</si>
  <si>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</si>
  <si>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</si>
  <si>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</si>
  <si>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</si>
  <si>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</si>
  <si>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</si>
  <si>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</si>
  <si>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</si>
  <si>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Строительно-монтажные работы</t>
  </si>
  <si>
    <t>Фундамент</t>
  </si>
  <si>
    <t>7</t>
  </si>
  <si>
    <t>3.8-1-1</t>
  </si>
  <si>
    <t>Устройство песчаного основания под фундаменты</t>
  </si>
  <si>
    <t>1 м3 основания</t>
  </si>
  <si>
    <t>ТСН-2001.3 Доп. 64, Сб. 8, т. 1, поз. 1</t>
  </si>
  <si>
    <t>ТСН-2001.3-8. 8-1</t>
  </si>
  <si>
    <t>ТСН-2001.3-8-1</t>
  </si>
  <si>
    <t>7,1</t>
  </si>
  <si>
    <t>1.1-1-766</t>
  </si>
  <si>
    <t>Песок для строительных работ, рядовой</t>
  </si>
  <si>
    <t>м3</t>
  </si>
  <si>
    <t>ТСН-2001.1. Доп. 1-42. Р. 1, о. 1, поз. 766</t>
  </si>
  <si>
    <t>8</t>
  </si>
  <si>
    <t>3.8-1-2</t>
  </si>
  <si>
    <t>Устройство щебеночного основания под фундаменты</t>
  </si>
  <si>
    <t>ТСН-2001.3 Доп. 64, Сб. 8, т. 1, поз. 2</t>
  </si>
  <si>
    <t>8,1</t>
  </si>
  <si>
    <t>1.1-1-1513</t>
  </si>
  <si>
    <t>Щебень гравийный, фракция 20-40 мм</t>
  </si>
  <si>
    <t>ТСН-2001.1. Доп. 1-42. Р. 1, о. 1, поз. 1513</t>
  </si>
  <si>
    <t>9</t>
  </si>
  <si>
    <t>Укладка блоков и плит ленточных фундаментов при глубине котлована до 4 м, масса конструкций до 1,5 т</t>
  </si>
  <si>
    <t>9,1</t>
  </si>
  <si>
    <t>1.5-1-199</t>
  </si>
  <si>
    <t>Блоки бетонные для стен подвалов и технических подпольев зданий, марка ФБС</t>
  </si>
  <si>
    <t>ТСН-2001.1. Доп. 1-42. Р. 5, о. 1, поз. 199</t>
  </si>
  <si>
    <t>10</t>
  </si>
  <si>
    <t>Установка монтажных изделий массой до 20 кг (Прим.: Обвязка фунтамента уголком)</t>
  </si>
  <si>
    <t>10,1</t>
  </si>
  <si>
    <t>1.1-1-1111</t>
  </si>
  <si>
    <t>Уголок равнополочный, ширина полки 35-70 мм, из стали углеродистой обыкновенного качества, кипящей</t>
  </si>
  <si>
    <t>ТСН-2001.1 Доп. 48, Р. 1, о. 1, поз. 1111</t>
  </si>
  <si>
    <t>11</t>
  </si>
  <si>
    <t>3.29-1438-1</t>
  </si>
  <si>
    <t>Устройство обмазочной гидроизоляции железобетонных блоков</t>
  </si>
  <si>
    <t>100 м2 поверхности</t>
  </si>
  <si>
    <t>ТСН-2001.3 Доп. 55, Сб. 29, т. 1438, поз. 1</t>
  </si>
  <si>
    <t>ТСН-2001.3-29. 29-1434-1...29-1438-1 (доп. 44)</t>
  </si>
  <si>
    <t>ТСН-2001.3-29-123</t>
  </si>
  <si>
    <t>12</t>
  </si>
  <si>
    <t>4.8-25-2</t>
  </si>
  <si>
    <t>Подстанция комплектная напряжением до 10 кВ с трансформатором мощностью до 1000 кВА</t>
  </si>
  <si>
    <t>ТСН-2001.4. Доп. 1-42. Сб. 8, т. 25, поз. 2</t>
  </si>
  <si>
    <t>13</t>
  </si>
  <si>
    <t>Трансформаторы, автотрансформаторы и реакторы, трансформатор силовой, автотрансформатор или масляный реактор, масса до 3 т</t>
  </si>
  <si>
    <t>Заземление</t>
  </si>
  <si>
    <t>14</t>
  </si>
  <si>
    <t>3.1-51-1</t>
  </si>
  <si>
    <t>Разработка грунта вручную в траншеях глубиной до 2 м без креплений с откосами группа грунтов 1-3</t>
  </si>
  <si>
    <t>100 м3 грунта</t>
  </si>
  <si>
    <t>ТСН-2001.3. Доп. 1-42. Сб. 1, т. 51, поз. 1</t>
  </si>
  <si>
    <t>ТСН-2001.3-1. 1-49...1-55</t>
  </si>
  <si>
    <t>ТСН-2001.3-1-15</t>
  </si>
  <si>
    <t>15</t>
  </si>
  <si>
    <t>3.1-53-1</t>
  </si>
  <si>
    <t>Засыпка вручную траншей, пазух котлованов и ям группа грунтов 1-3</t>
  </si>
  <si>
    <t>ТСН-2001.3. Доп. 1-42. Сб. 1, т. 53, поз. 1</t>
  </si>
  <si>
    <t>16</t>
  </si>
  <si>
    <t>4.8-186-2</t>
  </si>
  <si>
    <t>Заземлители вертикальные, заземлитель из стали угловой, размер 63х63х6 мм</t>
  </si>
  <si>
    <t>10 шт.</t>
  </si>
  <si>
    <t>ТСН-2001.4. Доп. 1-42. Сб. 8, т. 186, поз. 2</t>
  </si>
  <si>
    <t>ТСН-2001.4-8. 8-185...8-187</t>
  </si>
  <si>
    <t>ТСН-2001.4-8-17</t>
  </si>
  <si>
    <t>16,1</t>
  </si>
  <si>
    <t>17</t>
  </si>
  <si>
    <t>4.8-187-2</t>
  </si>
  <si>
    <t>Заземляющие проводники, заземлитель горизонтальный в траншее из полосовой стали, сечение 160 мм2</t>
  </si>
  <si>
    <t>100 м</t>
  </si>
  <si>
    <t>ТСН-2001.4. Доп. 1-42. Сб. 8, т. 187, поз. 2</t>
  </si>
  <si>
    <t>17,1</t>
  </si>
  <si>
    <t>1.1-1-1090</t>
  </si>
  <si>
    <t>Полоса из стали углеродистой обыкновенного качества, кипящей</t>
  </si>
  <si>
    <t>ТСН-2001.1 Доп. 48, Р. 1, о. 1, поз. 1090</t>
  </si>
  <si>
    <t>18</t>
  </si>
  <si>
    <t>4.8-187-7</t>
  </si>
  <si>
    <t>Проводник заземляющий открыто по строительным основаниям из полосовой стали, сечением 160 мм2</t>
  </si>
  <si>
    <t>ТСН-2001.4. Доп. 1-42. Сб. 8, т. 187, поз. 7</t>
  </si>
  <si>
    <t>18,1</t>
  </si>
  <si>
    <t>Стоимость оборудования</t>
  </si>
  <si>
    <t>19</t>
  </si>
  <si>
    <t>Цена поставщика</t>
  </si>
  <si>
    <t>Подстанция КТП 10/0,4 в габаритах 630 кВА</t>
  </si>
  <si>
    <t>шт.</t>
  </si>
  <si>
    <t>Сметная стоимость оборудования</t>
  </si>
  <si>
    <t>ТСН-2001.13-1.</t>
  </si>
  <si>
    <t>ТСН-2001.13-1-1</t>
  </si>
  <si>
    <t>[2 347 400 / 1,2 /  6,19] +  1,2% Заг.скл</t>
  </si>
  <si>
    <t>0</t>
  </si>
  <si>
    <t>1,2</t>
  </si>
  <si>
    <t>20</t>
  </si>
  <si>
    <t>Трансформатор ТМГ21-630/10/0,4 кВ</t>
  </si>
  <si>
    <t>[688 440 / 1,2 /  6,19] +  1,2% Заг.скл</t>
  </si>
  <si>
    <t>Пусконаладочные работы</t>
  </si>
  <si>
    <t>21</t>
  </si>
  <si>
    <t>5.1-11-2</t>
  </si>
  <si>
    <t>Трансформатор двухобмоточный напряжением до 11 кВ, мощностью мВА до 1,6</t>
  </si>
  <si>
    <t>ТСН-2001.5. Доп. 1-42. Сб. 1, т. 11, поз. 2</t>
  </si>
  <si>
    <t>ТСН-2001.5-1. 1-1...1-189</t>
  </si>
  <si>
    <t>ТСН-2001.5-1-1</t>
  </si>
  <si>
    <t>22</t>
  </si>
  <si>
    <t>5.1-17-1</t>
  </si>
  <si>
    <t>Трансформатор выносной напряжением до 1 кВ</t>
  </si>
  <si>
    <t>ТСН-2001.5. Доп. 1-42. Сб. 1, т. 17, поз. 1</t>
  </si>
  <si>
    <t>23</t>
  </si>
  <si>
    <t>5.1-17-2</t>
  </si>
  <si>
    <t>Трансформатор выносной с твердой изоляцией напряжением до 11 кВ</t>
  </si>
  <si>
    <t>ТСН-2001.5. Доп. 1-42. Сб. 1, т. 17, поз. 2</t>
  </si>
  <si>
    <t>24</t>
  </si>
  <si>
    <t>5.1-18-2</t>
  </si>
  <si>
    <t>Трансформатор нулевой последовательности с подмагничиванием</t>
  </si>
  <si>
    <t>ТСН-2001.5. Доп. 1-42. Сб. 1, т. 18, поз. 2</t>
  </si>
  <si>
    <t>25</t>
  </si>
  <si>
    <t>5.1-121-1</t>
  </si>
  <si>
    <t>Вторичные цепи группы из трех однофазных трансформаторов напряжения до 11 кВ</t>
  </si>
  <si>
    <t>1 система</t>
  </si>
  <si>
    <t>ТСН-2001.5. Доп. 1-42. Сб. 1, т. 121, поз. 1</t>
  </si>
  <si>
    <t>26</t>
  </si>
  <si>
    <t>5.1-121-3</t>
  </si>
  <si>
    <t>Вторичные цепи трансформатора напряжения трехфазные</t>
  </si>
  <si>
    <t>ТСН-2001.5. Доп. 1-42. Сб. 1, т. 121, поз. 3</t>
  </si>
  <si>
    <t>27</t>
  </si>
  <si>
    <t>5.1-167-1</t>
  </si>
  <si>
    <t>Обмотка трансформатора силового</t>
  </si>
  <si>
    <t>1 испытание</t>
  </si>
  <si>
    <t>ТСН-2001.5. Доп. 1-42. Сб. 1, т. 167, поз. 1</t>
  </si>
  <si>
    <t>28</t>
  </si>
  <si>
    <t>5.1-26-5</t>
  </si>
  <si>
    <t>Выключатель автоматический с электромагнитным дутьем или вакуумный, напряжением до 11 кВ</t>
  </si>
  <si>
    <t>ТСН-2001.5. Доп. 1-42. Сб. 1, т. 26, поз. 5</t>
  </si>
  <si>
    <t>29</t>
  </si>
  <si>
    <t>5.1-26-1</t>
  </si>
  <si>
    <t>Выключатель нагрузки напряжением до 11 кВ</t>
  </si>
  <si>
    <t>ТСН-2001.5. Доп. 1-42. Сб. 1, т. 26, поз. 1</t>
  </si>
  <si>
    <t>30</t>
  </si>
  <si>
    <t>5.1-36-1</t>
  </si>
  <si>
    <t>Максимальные токовые защиты (МТЗ), защита прямого действия с одним реле</t>
  </si>
  <si>
    <t>1 комплект</t>
  </si>
  <si>
    <t>ТСН-2001.5. Доп. 1-42. Сб. 1, т. 36, поз. 1</t>
  </si>
  <si>
    <t>31</t>
  </si>
  <si>
    <t>5.1-64-1</t>
  </si>
  <si>
    <t>Устройство резервирования отказа выключателя (УРОВ) при количестве присоединений до четырех</t>
  </si>
  <si>
    <t>ТСН-2001.5. Доп. 1-42. Сб. 1, т. 64, поз. 1</t>
  </si>
  <si>
    <t>32</t>
  </si>
  <si>
    <t>5.1-151-2</t>
  </si>
  <si>
    <t>Измерение сопротивления растеканию тока контура с диагональю до 20 м</t>
  </si>
  <si>
    <t>1 измерение</t>
  </si>
  <si>
    <t>ТСН-2001.5. Доп. 1-42. Сб. 1, т. 151, поз. 2</t>
  </si>
  <si>
    <t>33</t>
  </si>
  <si>
    <t>5.1-152-1</t>
  </si>
  <si>
    <t>Проверка наличия цепи между заземлителями и заземленными элементами</t>
  </si>
  <si>
    <t>1 ТОЧКА</t>
  </si>
  <si>
    <t>ТСН-2001.5. Доп. 1-42. Сб. 1, т. 152, поз. 1</t>
  </si>
  <si>
    <t>Уровень цен</t>
  </si>
  <si>
    <t>Сборник индексов</t>
  </si>
  <si>
    <t>Коэффициенты к ТСН-2001 МГЭ</t>
  </si>
  <si>
    <t>195</t>
  </si>
  <si>
    <t>_OBSM_</t>
  </si>
  <si>
    <t>9999990008</t>
  </si>
  <si>
    <t>Трудозатраты рабочих</t>
  </si>
  <si>
    <t>чел.-ч.</t>
  </si>
  <si>
    <t>2.1-18-7</t>
  </si>
  <si>
    <t>ТСН-2001.2. Доп. 47. п.1-18-7 (183001)</t>
  </si>
  <si>
    <t>Автомобили грузовые бортовые, грузоподъемность до 5 т</t>
  </si>
  <si>
    <t>маш.-ч</t>
  </si>
  <si>
    <t>2.1-4-102</t>
  </si>
  <si>
    <t>ТСН-2001.2. Доп. 62. п.1-4-102 (040104)</t>
  </si>
  <si>
    <t>Погрузчики фронтальные одноковшовые, грузоподъемность до 5 т</t>
  </si>
  <si>
    <t>5813000000</t>
  </si>
  <si>
    <t>Сборные железобетонные конструкции (581200, 581301)</t>
  </si>
  <si>
    <t>2.1-13-10</t>
  </si>
  <si>
    <t>ТСН-2001.2. Доп. 56. п.1-13-10 (135201)</t>
  </si>
  <si>
    <t>Инверторы для ручной дуговой сварки, сварочный ток до 400 А</t>
  </si>
  <si>
    <t>1.1-1-1566</t>
  </si>
  <si>
    <t>ТСН-2001.1. Доп. 1-42. Р. 1, о. 1, поз. 1566</t>
  </si>
  <si>
    <t>Электроды, тип Э-42, 46, 50, диаметр 4 - 6 мм</t>
  </si>
  <si>
    <t>5264660000</t>
  </si>
  <si>
    <t>Монтажные связи, соединяемые на сварке</t>
  </si>
  <si>
    <t>9999990007</t>
  </si>
  <si>
    <t>Стоимость прочих машин (ЭСН)</t>
  </si>
  <si>
    <t>руб.</t>
  </si>
  <si>
    <t>2.1-10-4</t>
  </si>
  <si>
    <t>ТСН-2001.2. Доп. 63. п.1-10-4 (101001)</t>
  </si>
  <si>
    <t>Компрессоры передвижные с двигателем внутреннего сгорания, давление до 7 ат, производительность до 2,5 м3/мин</t>
  </si>
  <si>
    <t>2.1-30-1</t>
  </si>
  <si>
    <t>ТСН-2001.2. Доп. 64. п.1-30-1 (301201)</t>
  </si>
  <si>
    <t>Трамбовки пневматические</t>
  </si>
  <si>
    <t>2.1-4-3</t>
  </si>
  <si>
    <t>ТСН-2001.2. Доп. 62. п.1-4-3 (040103)</t>
  </si>
  <si>
    <t>Погрузчики фронтальные одноковшовые, грузоподъемность до 3 т</t>
  </si>
  <si>
    <t>1.1-1-118</t>
  </si>
  <si>
    <t>ТСН-2001.1. Доп. 1-42. Р. 1, о. 1, поз. 118</t>
  </si>
  <si>
    <t>Вода</t>
  </si>
  <si>
    <t>5711400000</t>
  </si>
  <si>
    <t>Песок строительный</t>
  </si>
  <si>
    <t>5711130000</t>
  </si>
  <si>
    <t>Щебень</t>
  </si>
  <si>
    <t>2.1-5-64</t>
  </si>
  <si>
    <t>ТСН-2001.2. Доп. 55. п.1-5-64 (059002)</t>
  </si>
  <si>
    <t>Котлы битумоварочные электрические, емкость до 1000 л, мощность до 50 кВт</t>
  </si>
  <si>
    <t>1.1-1-47</t>
  </si>
  <si>
    <t>ТСН-2001.1. Доп. 1-42. Р. 1, о. 1, поз. 47</t>
  </si>
  <si>
    <t>Битумы нефтяные, изоляционные, марка БНИ-IV-3, БНИ-IV, БНИ-V</t>
  </si>
  <si>
    <t>1.1-1-616</t>
  </si>
  <si>
    <t>ТСН-2001.1 Доп. 51, Р. 1, о. 1, поз. 616</t>
  </si>
  <si>
    <t>Праймер битумный с добавлением органических растворителей, нетвердеющий, адгезия полимерно-битумных лент к праймированной стали не менее 20 Н/см, вязкость при 20°С 17 сек, сухой остаток не менее 30%, для грунтовки изолируемых поверхностей перед укладкой н</t>
  </si>
  <si>
    <t>Реконструкция КТП-1370 с установкой новой подстанции в габаритах 630 кВА с трансформатором 630 кВА по адресу: г. Москва, пос. Рязановское, СНТ "Ветеран МО" (инв. № 43313749)", согласно ТУ от 29.12.2022 № И-22-00-587819/103/НМ от ПАО "Россети Московский регион"</t>
  </si>
  <si>
    <t>Праймер битумный с добавлением органических растворителей, нетвердеющий, адгезия полимерно-битумных лент к праймированной стали не менее 20 Н/см, вязкость при 20°С 17 сек, сухой остаток не менее 30%, для грунтовки изолируемых поверхностей перед укладкой наплавляемых или самоклеящихся кровельных и гидроизоляционных материалов</t>
  </si>
  <si>
    <t>"СОГЛАСОВАНО"</t>
  </si>
  <si>
    <t>"УТВЕРЖДАЮ"</t>
  </si>
  <si>
    <t>Форма № 1б</t>
  </si>
  <si>
    <t>"_____"________________ 2023 г.</t>
  </si>
  <si>
    <t>(наименование стройки)</t>
  </si>
  <si>
    <t>(локальный сметный расчет)</t>
  </si>
  <si>
    <t>(наименование работ и затрат, наименование объекта)</t>
  </si>
  <si>
    <t>базовая    цена</t>
  </si>
  <si>
    <t>текущая   цена</t>
  </si>
  <si>
    <t>Сметная стоимость</t>
  </si>
  <si>
    <t>Монтажные работы</t>
  </si>
  <si>
    <t>Оборудование</t>
  </si>
  <si>
    <t>Прочие работы</t>
  </si>
  <si>
    <t>Средства на оплату труда</t>
  </si>
  <si>
    <t xml:space="preserve">Кроме того: </t>
  </si>
  <si>
    <t>№№ п/п</t>
  </si>
  <si>
    <t>Шифр расценки и коды ресурсов</t>
  </si>
  <si>
    <t>Наименование работ и затрат</t>
  </si>
  <si>
    <t>Единица измерения</t>
  </si>
  <si>
    <t>Кол-во
единиц</t>
  </si>
  <si>
    <t>Цена на
ед. изм.,
руб.</t>
  </si>
  <si>
    <t>Попра-
вочные
коэфф.</t>
  </si>
  <si>
    <t>Коэфф.
зимних
удоро-
жаний</t>
  </si>
  <si>
    <t>ВСЕГО в
базисном
уровне цен,
руб.</t>
  </si>
  <si>
    <t>Коэфф.
пере-
счета и
нормы
НР и СП</t>
  </si>
  <si>
    <t>Всего в
текущем
уровне цен,
руб.</t>
  </si>
  <si>
    <t>Составлен(а) в уровне текущих (прогнозных) цен Коэффициенты к ТСН-2001 МГЭ №195 декабрь 2022 года</t>
  </si>
  <si>
    <r>
      <t>3.7-1-2</t>
    </r>
    <r>
      <rPr>
        <i/>
        <sz val="10"/>
        <rFont val="Arial"/>
        <family val="2"/>
        <charset val="204"/>
      </rPr>
      <t xml:space="preserve">
Поправка: ТСН-2001.6. О.П. п.23.4</t>
    </r>
  </si>
  <si>
    <t>ЗП</t>
  </si>
  <si>
    <t>ЭМ</t>
  </si>
  <si>
    <t>в т.ч. ЗПМ</t>
  </si>
  <si>
    <t>НР от ЗП</t>
  </si>
  <si>
    <t>%</t>
  </si>
  <si>
    <t>СП от ЗП</t>
  </si>
  <si>
    <t>НР и СП от ЗПМ</t>
  </si>
  <si>
    <t>ЗТР</t>
  </si>
  <si>
    <t>чел-ч</t>
  </si>
  <si>
    <r>
      <t>3.7-56-3</t>
    </r>
    <r>
      <rPr>
        <i/>
        <sz val="10"/>
        <rFont val="Arial"/>
        <family val="2"/>
        <charset val="204"/>
      </rPr>
      <t xml:space="preserve">
Поправка: ТСН-2001.6. О.П. п.23.4</t>
    </r>
  </si>
  <si>
    <r>
      <t>4.8-25-1</t>
    </r>
    <r>
      <rPr>
        <i/>
        <sz val="10"/>
        <rFont val="Arial"/>
        <family val="2"/>
        <charset val="204"/>
      </rPr>
      <t xml:space="preserve">
Поправка: ТСН-2001.4. О.П. п.6.1.1.3</t>
    </r>
  </si>
  <si>
    <r>
      <t>4.8-42-2</t>
    </r>
    <r>
      <rPr>
        <i/>
        <sz val="10"/>
        <rFont val="Arial"/>
        <family val="2"/>
        <charset val="204"/>
      </rPr>
      <t xml:space="preserve">
Поправка: ТСН-2001.4. О.П. п.6.1.1.3</t>
    </r>
  </si>
  <si>
    <t xml:space="preserve">   Итого по ТСН-2001.16</t>
  </si>
  <si>
    <t xml:space="preserve">   Итого возвратных сумм</t>
  </si>
  <si>
    <t>МР</t>
  </si>
  <si>
    <r>
      <t>Подстанция КТП 10/0,4 в габаритах 630 кВА</t>
    </r>
    <r>
      <rPr>
        <i/>
        <sz val="10"/>
        <rFont val="Arial"/>
        <family val="2"/>
        <charset val="204"/>
      </rPr>
      <t xml:space="preserve">
319 812,71 = [2 347 400 / 1,2 /  6,19] +  1,2% Заг.скл</t>
    </r>
  </si>
  <si>
    <r>
      <t>Трансформатор ТМГ21-630/10/0,4 кВ</t>
    </r>
    <r>
      <rPr>
        <i/>
        <sz val="10"/>
        <rFont val="Arial"/>
        <family val="2"/>
        <charset val="204"/>
      </rPr>
      <t xml:space="preserve">
93 793,92 = [688 440 / 1,2 /  6,19] +  1,2% Заг.скл</t>
    </r>
  </si>
  <si>
    <t xml:space="preserve"> тыс.руб.</t>
  </si>
  <si>
    <t xml:space="preserve">Составил   </t>
  </si>
  <si>
    <t>[должность,подпись(инициалы,фамилия)]</t>
  </si>
  <si>
    <t xml:space="preserve">Проверил   </t>
  </si>
  <si>
    <t>Инженерно-геодезические работы</t>
  </si>
  <si>
    <t>Проектные работы</t>
  </si>
  <si>
    <t>Итого</t>
  </si>
  <si>
    <t>НДС</t>
  </si>
  <si>
    <t>Всего по смете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</si>
</sst>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\-\ #,##0.00"/>
    <numFmt numFmtId="165" formatCode="General;\-General;"/>
  </numFmts>
  <fonts count="19" x14ac:knownFonts="1">
    <font>
      <sz val="10"/>
      <name val="Arial"/>
      <charset val="204"/>
    </font>
    <font>
      <b/>
      <sz val="10"/>
      <color indexed="12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sz val="10"/>
      <color indexed="17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b/>
      <sz val="10"/>
      <color indexed="14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i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9" fillId="0" borderId="0"/>
    <xf numFmtId="0" fontId="9" fillId="0" borderId="0"/>
  </cellStyleXfs>
  <cellXfs count="6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 applyAlignment="1">
      <alignment horizontal="right"/>
    </xf>
    <xf numFmtId="0" fontId="11" fillId="0" borderId="0" xfId="0" applyFont="1"/>
    <xf numFmtId="0" fontId="12" fillId="0" borderId="0" xfId="0" applyFont="1" applyAlignment="1"/>
    <xf numFmtId="0" fontId="11" fillId="0" borderId="0" xfId="0" applyFont="1" applyAlignment="1"/>
    <xf numFmtId="0" fontId="11" fillId="0" borderId="0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164" fontId="11" fillId="0" borderId="0" xfId="0" applyNumberFormat="1" applyFont="1"/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11" fillId="0" borderId="1" xfId="0" applyFont="1" applyBorder="1" applyAlignment="1">
      <alignment horizontal="left" wrapText="1"/>
    </xf>
    <xf numFmtId="0" fontId="11" fillId="0" borderId="0" xfId="0" applyFont="1" applyAlignment="1">
      <alignment horizontal="left" vertical="top" wrapText="1"/>
    </xf>
    <xf numFmtId="0" fontId="16" fillId="0" borderId="0" xfId="0" applyFont="1" applyAlignment="1">
      <alignment horizontal="right" wrapText="1"/>
    </xf>
    <xf numFmtId="165" fontId="11" fillId="0" borderId="0" xfId="0" applyNumberFormat="1" applyFont="1" applyAlignment="1">
      <alignment horizontal="right" wrapText="1"/>
    </xf>
    <xf numFmtId="164" fontId="11" fillId="0" borderId="0" xfId="0" applyNumberFormat="1" applyFont="1" applyAlignment="1">
      <alignment horizontal="right"/>
    </xf>
    <xf numFmtId="164" fontId="16" fillId="0" borderId="0" xfId="0" applyNumberFormat="1" applyFont="1" applyAlignment="1">
      <alignment horizontal="right"/>
    </xf>
    <xf numFmtId="164" fontId="0" fillId="0" borderId="0" xfId="0" applyNumberFormat="1"/>
    <xf numFmtId="0" fontId="0" fillId="0" borderId="5" xfId="0" applyBorder="1"/>
    <xf numFmtId="0" fontId="9" fillId="0" borderId="0" xfId="0" applyFont="1" applyAlignment="1">
      <alignment vertical="top" wrapText="1"/>
    </xf>
    <xf numFmtId="0" fontId="16" fillId="0" borderId="0" xfId="0" applyFont="1" applyAlignment="1">
      <alignment wrapText="1"/>
    </xf>
    <xf numFmtId="165" fontId="11" fillId="0" borderId="0" xfId="0" quotePrefix="1" applyNumberFormat="1" applyFont="1" applyAlignment="1">
      <alignment horizontal="right" wrapText="1"/>
    </xf>
    <xf numFmtId="0" fontId="18" fillId="0" borderId="0" xfId="0" applyFont="1" applyAlignment="1">
      <alignment horizontal="left" wrapText="1"/>
    </xf>
    <xf numFmtId="0" fontId="11" fillId="0" borderId="1" xfId="0" applyFont="1" applyBorder="1"/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/>
    </xf>
    <xf numFmtId="0" fontId="10" fillId="0" borderId="2" xfId="0" applyFont="1" applyBorder="1" applyAlignment="1">
      <alignment horizontal="center"/>
    </xf>
    <xf numFmtId="164" fontId="18" fillId="0" borderId="0" xfId="0" applyNumberFormat="1" applyFont="1" applyAlignment="1">
      <alignment horizontal="right"/>
    </xf>
    <xf numFmtId="0" fontId="18" fillId="0" borderId="0" xfId="0" applyFont="1" applyAlignment="1">
      <alignment horizontal="right"/>
    </xf>
    <xf numFmtId="0" fontId="18" fillId="0" borderId="0" xfId="0" applyFont="1" applyAlignment="1">
      <alignment horizontal="left" wrapText="1"/>
    </xf>
    <xf numFmtId="164" fontId="18" fillId="0" borderId="5" xfId="0" applyNumberFormat="1" applyFont="1" applyBorder="1" applyAlignment="1">
      <alignment horizontal="right"/>
    </xf>
    <xf numFmtId="0" fontId="12" fillId="0" borderId="0" xfId="0" applyFont="1" applyAlignment="1">
      <alignment horizontal="center" wrapText="1"/>
    </xf>
    <xf numFmtId="0" fontId="11" fillId="0" borderId="0" xfId="1" applyFont="1" applyFill="1" applyAlignment="1">
      <alignment horizontal="left"/>
    </xf>
    <xf numFmtId="0" fontId="9" fillId="0" borderId="0" xfId="1" applyFont="1" applyFill="1" applyAlignment="1">
      <alignment horizontal="left"/>
    </xf>
    <xf numFmtId="0" fontId="11" fillId="0" borderId="1" xfId="0" applyFont="1" applyBorder="1" applyAlignment="1">
      <alignment horizontal="left" wrapText="1"/>
    </xf>
    <xf numFmtId="0" fontId="11" fillId="0" borderId="0" xfId="0" applyFont="1" applyFill="1" applyAlignment="1">
      <alignment horizontal="left"/>
    </xf>
    <xf numFmtId="0" fontId="10" fillId="0" borderId="0" xfId="0" applyFont="1" applyAlignment="1">
      <alignment horizontal="center" wrapText="1"/>
    </xf>
    <xf numFmtId="0" fontId="15" fillId="0" borderId="0" xfId="0" applyFont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0" fillId="0" borderId="0" xfId="0" applyAlignment="1"/>
    <xf numFmtId="0" fontId="11" fillId="0" borderId="0" xfId="0" applyFont="1" applyAlignment="1">
      <alignment horizontal="left" wrapText="1"/>
    </xf>
    <xf numFmtId="0" fontId="11" fillId="0" borderId="0" xfId="0" applyFont="1" applyBorder="1" applyAlignment="1">
      <alignment horizontal="left" wrapText="1"/>
    </xf>
    <xf numFmtId="0" fontId="11" fillId="0" borderId="0" xfId="0" applyFont="1" applyAlignment="1">
      <alignment horizontal="right"/>
    </xf>
    <xf numFmtId="0" fontId="13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13" fillId="0" borderId="0" xfId="0" applyFont="1" applyAlignment="1">
      <alignment horizontal="left"/>
    </xf>
    <xf numFmtId="0" fontId="18" fillId="0" borderId="0" xfId="2" applyFont="1" applyAlignment="1">
      <alignment horizontal="left" wrapText="1"/>
    </xf>
    <xf numFmtId="0" fontId="18" fillId="0" borderId="0" xfId="2" applyFont="1" applyAlignment="1">
      <alignment horizontal="left" wrapText="1"/>
    </xf>
    <xf numFmtId="164" fontId="18" fillId="0" borderId="0" xfId="2" applyNumberFormat="1" applyFont="1" applyAlignment="1">
      <alignment horizontal="right"/>
    </xf>
    <xf numFmtId="4" fontId="18" fillId="0" borderId="0" xfId="2" applyNumberFormat="1" applyFont="1" applyAlignment="1">
      <alignment horizontal="left" wrapText="1"/>
    </xf>
    <xf numFmtId="9" fontId="18" fillId="0" borderId="0" xfId="2" applyNumberFormat="1" applyFont="1" applyAlignment="1">
      <alignment horizontal="left" wrapText="1"/>
    </xf>
  </cellXfs>
  <cellStyles count="3">
    <cellStyle name="Обычный" xfId="0" builtinId="0"/>
    <cellStyle name="Обычный 2 28" xfId="2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7"/>
  <sheetViews>
    <sheetView tabSelected="1" zoomScaleNormal="100" workbookViewId="0">
      <selection activeCell="A13" sqref="A13:K13"/>
    </sheetView>
  </sheetViews>
  <sheetFormatPr defaultRowHeight="12.75" x14ac:dyDescent="0.2"/>
  <cols>
    <col min="1" max="1" width="5.7109375" customWidth="1"/>
    <col min="2" max="2" width="11.7109375" customWidth="1"/>
    <col min="3" max="3" width="40.7109375" customWidth="1"/>
    <col min="4" max="4" width="11.7109375" customWidth="1"/>
    <col min="5" max="5" width="9" bestFit="1" customWidth="1"/>
    <col min="6" max="6" width="11.28515625" bestFit="1" customWidth="1"/>
    <col min="7" max="8" width="8.28515625" bestFit="1" customWidth="1"/>
    <col min="9" max="9" width="11.28515625" bestFit="1" customWidth="1"/>
    <col min="10" max="10" width="9.140625" bestFit="1" customWidth="1"/>
    <col min="11" max="11" width="13.140625" bestFit="1" customWidth="1"/>
    <col min="14" max="36" width="0" hidden="1" customWidth="1"/>
    <col min="37" max="37" width="129.7109375" hidden="1" customWidth="1"/>
    <col min="38" max="38" width="96" hidden="1" customWidth="1"/>
    <col min="39" max="42" width="0" hidden="1" customWidth="1"/>
  </cols>
  <sheetData>
    <row r="1" spans="1:37" x14ac:dyDescent="0.2">
      <c r="A1" s="9" t="str">
        <f>Source!B1</f>
        <v>Smeta.RU  (495) 974-1589</v>
      </c>
    </row>
    <row r="2" spans="1:37" ht="14.25" x14ac:dyDescent="0.2">
      <c r="A2" s="10"/>
      <c r="B2" s="10"/>
      <c r="C2" s="10"/>
      <c r="D2" s="10"/>
      <c r="E2" s="10"/>
      <c r="F2" s="10"/>
      <c r="G2" s="10"/>
      <c r="H2" s="10"/>
      <c r="I2" s="10"/>
      <c r="J2" s="53" t="s">
        <v>335</v>
      </c>
      <c r="K2" s="53"/>
    </row>
    <row r="3" spans="1:37" ht="16.5" x14ac:dyDescent="0.25">
      <c r="A3" s="12"/>
      <c r="B3" s="56" t="s">
        <v>333</v>
      </c>
      <c r="C3" s="56"/>
      <c r="D3" s="56"/>
      <c r="E3" s="56"/>
      <c r="F3" s="11"/>
      <c r="G3" s="56" t="s">
        <v>334</v>
      </c>
      <c r="H3" s="56"/>
      <c r="I3" s="56"/>
      <c r="J3" s="56"/>
      <c r="K3" s="56"/>
    </row>
    <row r="4" spans="1:37" ht="14.25" x14ac:dyDescent="0.2">
      <c r="A4" s="11"/>
      <c r="B4" s="36"/>
      <c r="C4" s="36"/>
      <c r="D4" s="36"/>
      <c r="E4" s="36"/>
      <c r="F4" s="11"/>
      <c r="G4" s="36"/>
      <c r="H4" s="36"/>
      <c r="I4" s="36"/>
      <c r="J4" s="36"/>
      <c r="K4" s="36"/>
    </row>
    <row r="5" spans="1:37" ht="14.25" x14ac:dyDescent="0.2">
      <c r="A5" s="13"/>
      <c r="B5" s="13"/>
      <c r="C5" s="14"/>
      <c r="D5" s="14"/>
      <c r="E5" s="14"/>
      <c r="F5" s="11"/>
      <c r="G5" s="15"/>
      <c r="H5" s="14"/>
      <c r="I5" s="14"/>
      <c r="J5" s="14"/>
      <c r="K5" s="15"/>
    </row>
    <row r="6" spans="1:37" ht="14.25" x14ac:dyDescent="0.2">
      <c r="A6" s="15"/>
      <c r="B6" s="36" t="str">
        <f>CONCATENATE("______________________ ", IF(Source!AL12&lt;&gt;"", Source!AL12, ""))</f>
        <v xml:space="preserve">______________________ </v>
      </c>
      <c r="C6" s="36"/>
      <c r="D6" s="36"/>
      <c r="E6" s="36"/>
      <c r="F6" s="11"/>
      <c r="G6" s="36" t="str">
        <f>CONCATENATE("______________________ ", IF(Source!AH12&lt;&gt;"", Source!AH12, ""))</f>
        <v xml:space="preserve">______________________ </v>
      </c>
      <c r="H6" s="36"/>
      <c r="I6" s="36"/>
      <c r="J6" s="36"/>
      <c r="K6" s="36"/>
    </row>
    <row r="7" spans="1:37" ht="14.25" x14ac:dyDescent="0.2">
      <c r="A7" s="16"/>
      <c r="B7" s="52" t="s">
        <v>336</v>
      </c>
      <c r="C7" s="52"/>
      <c r="D7" s="52"/>
      <c r="E7" s="52"/>
      <c r="F7" s="11"/>
      <c r="G7" s="52" t="s">
        <v>336</v>
      </c>
      <c r="H7" s="52"/>
      <c r="I7" s="52"/>
      <c r="J7" s="52"/>
      <c r="K7" s="52"/>
    </row>
    <row r="9" spans="1:37" ht="14.25" x14ac:dyDescent="0.2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</row>
    <row r="10" spans="1:37" ht="15.75" x14ac:dyDescent="0.25">
      <c r="A10" s="54"/>
      <c r="B10" s="54"/>
      <c r="C10" s="54"/>
      <c r="D10" s="54"/>
      <c r="E10" s="54"/>
      <c r="F10" s="54"/>
      <c r="G10" s="54"/>
      <c r="H10" s="54"/>
      <c r="I10" s="54"/>
      <c r="J10" s="54"/>
      <c r="K10" s="54"/>
    </row>
    <row r="11" spans="1:37" x14ac:dyDescent="0.2">
      <c r="A11" s="37" t="s">
        <v>337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</row>
    <row r="12" spans="1:37" ht="14.25" x14ac:dyDescent="0.2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</row>
    <row r="13" spans="1:37" ht="15.75" x14ac:dyDescent="0.25">
      <c r="A13" s="54" t="str">
        <f>CONCATENATE( "ЛОКАЛЬНАЯ СМЕТА № ",IF(Source!F20&lt;&gt;"Новая локальная смета", Source!F20, ""))</f>
        <v xml:space="preserve">ЛОКАЛЬНАЯ СМЕТА № 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</row>
    <row r="14" spans="1:37" x14ac:dyDescent="0.2">
      <c r="A14" s="47" t="s">
        <v>338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</row>
    <row r="15" spans="1:37" ht="14.25" x14ac:dyDescent="0.2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</row>
    <row r="16" spans="1:37" ht="72" x14ac:dyDescent="0.25">
      <c r="A16" s="48" t="str">
        <f>IF(Source!G20&lt;&gt;"Новая локальная смета", Source!G20, "")</f>
        <v>Реконструкция КТП-1370 с установкой новой подстанции в габаритах 630 кВА с трансформатором 630 кВА по адресу: г. Москва, пос. Рязановское, СНТ "Ветеран МО" (инв. № 43313749)", согласно ТУ от 29.12.2022 № И-22-00-587819/103/НМ от ПАО "Россети Московский регион"</v>
      </c>
      <c r="B16" s="48"/>
      <c r="C16" s="48"/>
      <c r="D16" s="48"/>
      <c r="E16" s="48"/>
      <c r="F16" s="48"/>
      <c r="G16" s="48"/>
      <c r="H16" s="48"/>
      <c r="I16" s="48"/>
      <c r="J16" s="48"/>
      <c r="K16" s="48"/>
      <c r="AK16" s="21" t="str">
        <f>IF(Source!G20&lt;&gt;"Новая локальная смета", Source!G20, "")</f>
        <v>Реконструкция КТП-1370 с установкой новой подстанции в габаритах 630 кВА с трансформатором 630 кВА по адресу: г. Москва, пос. Рязановское, СНТ "Ветеран МО" (инв. № 43313749)", согласно ТУ от 29.12.2022 № И-22-00-587819/103/НМ от ПАО "Россети Московский регион"</v>
      </c>
    </row>
    <row r="17" spans="1:37" ht="14.25" x14ac:dyDescent="0.2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</row>
    <row r="18" spans="1:37" ht="18" x14ac:dyDescent="0.25">
      <c r="A18" s="49" t="str">
        <f>IF(Source!G12&lt;&gt;"Новый объект", Source!G12, "")</f>
        <v>Рек-ция КТП-1370 Ветеран МО</v>
      </c>
      <c r="B18" s="49"/>
      <c r="C18" s="49"/>
      <c r="D18" s="49"/>
      <c r="E18" s="49"/>
      <c r="F18" s="49"/>
      <c r="G18" s="49"/>
      <c r="H18" s="49"/>
      <c r="I18" s="49"/>
      <c r="J18" s="49"/>
      <c r="K18" s="49"/>
    </row>
    <row r="19" spans="1:37" x14ac:dyDescent="0.2">
      <c r="A19" s="47" t="s">
        <v>339</v>
      </c>
      <c r="B19" s="50"/>
      <c r="C19" s="50"/>
      <c r="D19" s="50"/>
      <c r="E19" s="50"/>
      <c r="F19" s="50"/>
      <c r="G19" s="50"/>
      <c r="H19" s="50"/>
      <c r="I19" s="50"/>
      <c r="J19" s="50"/>
      <c r="K19" s="50"/>
    </row>
    <row r="20" spans="1:37" ht="14.2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</row>
    <row r="21" spans="1:37" ht="14.25" x14ac:dyDescent="0.2">
      <c r="A21" s="51" t="str">
        <f>CONCATENATE( "Основание: чертежи № ", Source!J20)</f>
        <v xml:space="preserve">Основание: чертежи № 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</row>
    <row r="22" spans="1:37" ht="28.5" x14ac:dyDescent="0.2">
      <c r="A22" s="11"/>
      <c r="B22" s="11"/>
      <c r="C22" s="11"/>
      <c r="D22" s="11"/>
      <c r="E22" s="11"/>
      <c r="F22" s="11"/>
      <c r="G22" s="11"/>
      <c r="H22" s="11"/>
      <c r="I22" s="17" t="s">
        <v>340</v>
      </c>
      <c r="J22" s="17" t="s">
        <v>341</v>
      </c>
      <c r="K22" s="11"/>
    </row>
    <row r="23" spans="1:37" ht="14.25" x14ac:dyDescent="0.2">
      <c r="A23" s="11"/>
      <c r="B23" s="11"/>
      <c r="C23" s="11"/>
      <c r="D23" s="11"/>
      <c r="E23" s="11"/>
      <c r="F23" s="36" t="s">
        <v>342</v>
      </c>
      <c r="G23" s="36"/>
      <c r="H23" s="36"/>
      <c r="I23" s="18">
        <f>I24+I25+I26+I27</f>
        <v>434.09000000000003</v>
      </c>
      <c r="J23" s="18">
        <f>J24+J25+J26+J27</f>
        <v>2969.26</v>
      </c>
      <c r="K23" s="11" t="s">
        <v>378</v>
      </c>
    </row>
    <row r="24" spans="1:37" ht="14.25" x14ac:dyDescent="0.2">
      <c r="A24" s="11"/>
      <c r="B24" s="11"/>
      <c r="C24" s="11"/>
      <c r="D24" s="11"/>
      <c r="E24" s="11"/>
      <c r="F24" s="36" t="s">
        <v>25</v>
      </c>
      <c r="G24" s="36"/>
      <c r="H24" s="36"/>
      <c r="I24" s="18">
        <f>ROUND(SUM(X34:X313)/1000, 2)</f>
        <v>5.48</v>
      </c>
      <c r="J24" s="18">
        <f>ROUND((Source!F224)/1000, 2)</f>
        <v>72.959999999999994</v>
      </c>
      <c r="K24" s="11" t="s">
        <v>378</v>
      </c>
    </row>
    <row r="25" spans="1:37" ht="14.25" x14ac:dyDescent="0.2">
      <c r="A25" s="11"/>
      <c r="B25" s="11"/>
      <c r="C25" s="11"/>
      <c r="D25" s="11"/>
      <c r="E25" s="11"/>
      <c r="F25" s="36" t="s">
        <v>343</v>
      </c>
      <c r="G25" s="36"/>
      <c r="H25" s="36"/>
      <c r="I25" s="18">
        <f>ROUND(SUM(Y34:Y313)/1000, 2)</f>
        <v>5.93</v>
      </c>
      <c r="J25" s="18">
        <f>ROUND((Source!F225)/1000, 2)</f>
        <v>114.08</v>
      </c>
      <c r="K25" s="11" t="s">
        <v>378</v>
      </c>
    </row>
    <row r="26" spans="1:37" ht="14.25" x14ac:dyDescent="0.2">
      <c r="A26" s="11"/>
      <c r="B26" s="11"/>
      <c r="C26" s="11"/>
      <c r="D26" s="11"/>
      <c r="E26" s="11"/>
      <c r="F26" s="36" t="s">
        <v>344</v>
      </c>
      <c r="G26" s="36"/>
      <c r="H26" s="36"/>
      <c r="I26" s="18">
        <f>ROUND(SUM(Z34:Z313)/1000, 2)</f>
        <v>413.61</v>
      </c>
      <c r="J26" s="18">
        <f>ROUND((Source!F216)/1000, 2)</f>
        <v>2560.23</v>
      </c>
      <c r="K26" s="11" t="s">
        <v>378</v>
      </c>
    </row>
    <row r="27" spans="1:37" ht="14.25" x14ac:dyDescent="0.2">
      <c r="A27" s="11"/>
      <c r="B27" s="11"/>
      <c r="C27" s="11"/>
      <c r="D27" s="11"/>
      <c r="E27" s="11"/>
      <c r="F27" s="36" t="s">
        <v>345</v>
      </c>
      <c r="G27" s="36"/>
      <c r="H27" s="36"/>
      <c r="I27" s="18">
        <f>ROUND(SUM(AA34:AA313)/1000, 2)</f>
        <v>9.07</v>
      </c>
      <c r="J27" s="18">
        <f>ROUND((Source!F226+Source!F227)/1000, 2)</f>
        <v>221.99</v>
      </c>
      <c r="K27" s="11" t="s">
        <v>378</v>
      </c>
    </row>
    <row r="28" spans="1:37" ht="14.25" x14ac:dyDescent="0.2">
      <c r="A28" s="11"/>
      <c r="B28" s="11"/>
      <c r="C28" s="11"/>
      <c r="D28" s="11"/>
      <c r="E28" s="11"/>
      <c r="F28" s="36" t="s">
        <v>346</v>
      </c>
      <c r="G28" s="36"/>
      <c r="H28" s="36"/>
      <c r="I28" s="18">
        <f>ROUND(SUM(W34:W313)/1000, 2)</f>
        <v>5.59</v>
      </c>
      <c r="J28" s="18">
        <f>(Source!F222+ Source!F221)/1000</f>
        <v>160.33438999999998</v>
      </c>
      <c r="K28" s="11" t="s">
        <v>378</v>
      </c>
    </row>
    <row r="29" spans="1:37" ht="14.25" hidden="1" x14ac:dyDescent="0.2">
      <c r="A29" s="11"/>
      <c r="B29" s="11"/>
      <c r="C29" s="11"/>
      <c r="D29" s="11"/>
      <c r="E29" s="11"/>
      <c r="F29" s="46" t="s">
        <v>347</v>
      </c>
      <c r="G29" s="46"/>
      <c r="H29" s="46"/>
      <c r="I29" s="18"/>
      <c r="J29" s="18"/>
      <c r="K29" s="11"/>
    </row>
    <row r="30" spans="1:37" ht="14.25" hidden="1" x14ac:dyDescent="0.2">
      <c r="A30" s="11"/>
      <c r="B30" s="11"/>
      <c r="C30" s="11"/>
      <c r="D30" s="11"/>
      <c r="E30" s="11"/>
      <c r="F30" s="43" t="s">
        <v>108</v>
      </c>
      <c r="G30" s="44"/>
      <c r="H30" s="44"/>
      <c r="I30" s="18">
        <f>ROUND(SUM(AE34:AE313)/1000, 2)</f>
        <v>0</v>
      </c>
      <c r="J30" s="18">
        <f>SUM(AF34:AF313)/1000</f>
        <v>0</v>
      </c>
      <c r="K30" s="11" t="s">
        <v>378</v>
      </c>
    </row>
    <row r="31" spans="1:37" ht="14.25" x14ac:dyDescent="0.2">
      <c r="A31" s="45" t="s">
        <v>359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AK31" s="22" t="s">
        <v>359</v>
      </c>
    </row>
    <row r="32" spans="1:37" ht="71.25" x14ac:dyDescent="0.2">
      <c r="A32" s="19" t="s">
        <v>348</v>
      </c>
      <c r="B32" s="19" t="s">
        <v>349</v>
      </c>
      <c r="C32" s="19" t="s">
        <v>350</v>
      </c>
      <c r="D32" s="19" t="s">
        <v>351</v>
      </c>
      <c r="E32" s="19" t="s">
        <v>352</v>
      </c>
      <c r="F32" s="19" t="s">
        <v>353</v>
      </c>
      <c r="G32" s="20" t="s">
        <v>354</v>
      </c>
      <c r="H32" s="20" t="s">
        <v>355</v>
      </c>
      <c r="I32" s="19" t="s">
        <v>356</v>
      </c>
      <c r="J32" s="19" t="s">
        <v>357</v>
      </c>
      <c r="K32" s="19" t="s">
        <v>358</v>
      </c>
    </row>
    <row r="33" spans="1:27" ht="14.25" x14ac:dyDescent="0.2">
      <c r="A33" s="19">
        <v>1</v>
      </c>
      <c r="B33" s="19">
        <v>2</v>
      </c>
      <c r="C33" s="19">
        <v>3</v>
      </c>
      <c r="D33" s="19">
        <v>4</v>
      </c>
      <c r="E33" s="19">
        <v>5</v>
      </c>
      <c r="F33" s="19">
        <v>6</v>
      </c>
      <c r="G33" s="19">
        <v>7</v>
      </c>
      <c r="H33" s="19">
        <v>8</v>
      </c>
      <c r="I33" s="19">
        <v>9</v>
      </c>
      <c r="J33" s="19">
        <v>10</v>
      </c>
      <c r="K33" s="19">
        <v>11</v>
      </c>
    </row>
    <row r="35" spans="1:27" ht="16.5" x14ac:dyDescent="0.25">
      <c r="A35" s="42" t="str">
        <f>CONCATENATE("Раздел: ",IF(Source!G24&lt;&gt;"Новый раздел", Source!G24, ""))</f>
        <v>Раздел: Демонтажные работы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</row>
    <row r="36" spans="1:27" ht="57" x14ac:dyDescent="0.2">
      <c r="A36" s="23">
        <v>1</v>
      </c>
      <c r="B36" s="23" t="s">
        <v>360</v>
      </c>
      <c r="C36" s="23" t="s">
        <v>19</v>
      </c>
      <c r="D36" s="24" t="str">
        <f>Source!H28</f>
        <v>100 шт.</v>
      </c>
      <c r="E36" s="10">
        <f>Source!I28</f>
        <v>7.0000000000000007E-2</v>
      </c>
      <c r="F36" s="26"/>
      <c r="G36" s="25"/>
      <c r="H36" s="10"/>
      <c r="I36" s="26"/>
      <c r="J36" s="10"/>
      <c r="K36" s="26"/>
      <c r="Q36">
        <f>ROUND((Source!DN28/100)*ROUND((Source!AF28*Source!AV28)*Source!I28, 2), 2)</f>
        <v>34.76</v>
      </c>
      <c r="R36">
        <f>Source!X28</f>
        <v>796.1</v>
      </c>
      <c r="S36">
        <f>ROUND((Source!DO28/100)*ROUND((Source!AF28*Source!AV28)*Source!I28, 2), 2)</f>
        <v>26.01</v>
      </c>
      <c r="T36">
        <f>Source!Y28</f>
        <v>357.3</v>
      </c>
      <c r="U36">
        <f>ROUND((175/100)*ROUND((Source!AE28*Source!AV28)*Source!I28, 2), 2)</f>
        <v>3.5</v>
      </c>
      <c r="V36">
        <f>ROUND((160/100)*ROUND(Source!CS28*Source!I28, 2), 2)</f>
        <v>91.95</v>
      </c>
    </row>
    <row r="37" spans="1:27" ht="14.25" x14ac:dyDescent="0.2">
      <c r="A37" s="23"/>
      <c r="B37" s="23"/>
      <c r="C37" s="23" t="s">
        <v>361</v>
      </c>
      <c r="D37" s="24"/>
      <c r="E37" s="10"/>
      <c r="F37" s="26">
        <f>Source!AO28</f>
        <v>957.82</v>
      </c>
      <c r="G37" s="25" t="str">
        <f>Source!DG28</f>
        <v>)*0,3</v>
      </c>
      <c r="H37" s="10">
        <f>Source!AV28</f>
        <v>1.087</v>
      </c>
      <c r="I37" s="26">
        <f>ROUND((Source!AF28*Source!AV28)*Source!I28, 2)</f>
        <v>21.86</v>
      </c>
      <c r="J37" s="10">
        <f>IF(Source!BA28&lt;&gt; 0, Source!BA28, 1)</f>
        <v>28.67</v>
      </c>
      <c r="K37" s="26">
        <f>Source!S28</f>
        <v>626.85</v>
      </c>
      <c r="W37">
        <f>I37</f>
        <v>21.86</v>
      </c>
    </row>
    <row r="38" spans="1:27" ht="14.25" x14ac:dyDescent="0.2">
      <c r="A38" s="23"/>
      <c r="B38" s="23"/>
      <c r="C38" s="23" t="s">
        <v>362</v>
      </c>
      <c r="D38" s="24"/>
      <c r="E38" s="10"/>
      <c r="F38" s="26">
        <f>Source!AM28</f>
        <v>657.82</v>
      </c>
      <c r="G38" s="25" t="str">
        <f>Source!DE28</f>
        <v>)*0,3</v>
      </c>
      <c r="H38" s="10">
        <f>Source!AV28</f>
        <v>1.087</v>
      </c>
      <c r="I38" s="26">
        <f>ROUND((Source!AD28*Source!AV28)*Source!I28, 2)</f>
        <v>15.02</v>
      </c>
      <c r="J38" s="10">
        <f>IF(Source!BB28&lt;&gt; 0, Source!BB28, 1)</f>
        <v>10.36</v>
      </c>
      <c r="K38" s="26">
        <f>Source!Q28</f>
        <v>155.57</v>
      </c>
    </row>
    <row r="39" spans="1:27" ht="14.25" x14ac:dyDescent="0.2">
      <c r="A39" s="23"/>
      <c r="B39" s="23"/>
      <c r="C39" s="23" t="s">
        <v>363</v>
      </c>
      <c r="D39" s="24"/>
      <c r="E39" s="10"/>
      <c r="F39" s="26">
        <f>Source!AN28</f>
        <v>87.82</v>
      </c>
      <c r="G39" s="25" t="str">
        <f>Source!DF28</f>
        <v>)*0,3</v>
      </c>
      <c r="H39" s="10">
        <f>Source!AV28</f>
        <v>1.087</v>
      </c>
      <c r="I39" s="27">
        <f>ROUND((Source!AE28*Source!AV28)*Source!I28, 2)</f>
        <v>2</v>
      </c>
      <c r="J39" s="10">
        <f>IF(Source!BS28&lt;&gt; 0, Source!BS28, 1)</f>
        <v>28.67</v>
      </c>
      <c r="K39" s="27">
        <f>Source!R28</f>
        <v>57.47</v>
      </c>
      <c r="W39">
        <f>I39</f>
        <v>2</v>
      </c>
    </row>
    <row r="40" spans="1:27" ht="14.25" x14ac:dyDescent="0.2">
      <c r="A40" s="23"/>
      <c r="B40" s="23"/>
      <c r="C40" s="23" t="s">
        <v>364</v>
      </c>
      <c r="D40" s="24" t="s">
        <v>365</v>
      </c>
      <c r="E40" s="10">
        <f>Source!DN28</f>
        <v>159</v>
      </c>
      <c r="F40" s="26"/>
      <c r="G40" s="25"/>
      <c r="H40" s="10"/>
      <c r="I40" s="26">
        <f>SUM(Q36:Q39)</f>
        <v>34.76</v>
      </c>
      <c r="J40" s="10">
        <f>Source!BZ28</f>
        <v>127</v>
      </c>
      <c r="K40" s="26">
        <f>SUM(R36:R39)</f>
        <v>796.1</v>
      </c>
    </row>
    <row r="41" spans="1:27" ht="14.25" x14ac:dyDescent="0.2">
      <c r="A41" s="23"/>
      <c r="B41" s="23"/>
      <c r="C41" s="23" t="s">
        <v>366</v>
      </c>
      <c r="D41" s="24" t="s">
        <v>365</v>
      </c>
      <c r="E41" s="10">
        <f>Source!DO28</f>
        <v>119</v>
      </c>
      <c r="F41" s="26"/>
      <c r="G41" s="25"/>
      <c r="H41" s="10"/>
      <c r="I41" s="26">
        <f>SUM(S36:S40)</f>
        <v>26.01</v>
      </c>
      <c r="J41" s="10">
        <f>Source!CA28</f>
        <v>57</v>
      </c>
      <c r="K41" s="26">
        <f>SUM(T36:T40)</f>
        <v>357.3</v>
      </c>
    </row>
    <row r="42" spans="1:27" ht="14.25" x14ac:dyDescent="0.2">
      <c r="A42" s="23"/>
      <c r="B42" s="23"/>
      <c r="C42" s="23" t="s">
        <v>367</v>
      </c>
      <c r="D42" s="24" t="s">
        <v>365</v>
      </c>
      <c r="E42" s="10">
        <f>175</f>
        <v>175</v>
      </c>
      <c r="F42" s="26"/>
      <c r="G42" s="25"/>
      <c r="H42" s="10"/>
      <c r="I42" s="26">
        <f>SUM(U36:U41)</f>
        <v>3.5</v>
      </c>
      <c r="J42" s="10">
        <f>160</f>
        <v>160</v>
      </c>
      <c r="K42" s="26">
        <f>SUM(V36:V41)</f>
        <v>91.95</v>
      </c>
    </row>
    <row r="43" spans="1:27" ht="14.25" x14ac:dyDescent="0.2">
      <c r="A43" s="23"/>
      <c r="B43" s="23"/>
      <c r="C43" s="23" t="s">
        <v>368</v>
      </c>
      <c r="D43" s="24" t="s">
        <v>369</v>
      </c>
      <c r="E43" s="10">
        <f>Source!AQ28</f>
        <v>82.5</v>
      </c>
      <c r="F43" s="26"/>
      <c r="G43" s="25" t="str">
        <f>Source!DI28</f>
        <v>)*0,3</v>
      </c>
      <c r="H43" s="10">
        <f>Source!AV28</f>
        <v>1.087</v>
      </c>
      <c r="I43" s="26">
        <f>Source!U28</f>
        <v>1.8832275000000003</v>
      </c>
      <c r="J43" s="10"/>
      <c r="K43" s="26"/>
    </row>
    <row r="44" spans="1:27" ht="15" x14ac:dyDescent="0.25">
      <c r="A44" s="29"/>
      <c r="B44" s="29"/>
      <c r="C44" s="29"/>
      <c r="D44" s="29"/>
      <c r="E44" s="29"/>
      <c r="F44" s="29"/>
      <c r="G44" s="29"/>
      <c r="H44" s="41">
        <f>I37+I38+I40+I41+I42</f>
        <v>101.14999999999999</v>
      </c>
      <c r="I44" s="41"/>
      <c r="J44" s="41">
        <f>K37+K38+K40+K41+K42</f>
        <v>2027.77</v>
      </c>
      <c r="K44" s="41"/>
      <c r="O44" s="28">
        <f>I37+I38+I40+I41+I42</f>
        <v>101.14999999999999</v>
      </c>
      <c r="P44" s="28">
        <f>K37+K38+K40+K41+K42</f>
        <v>2027.77</v>
      </c>
      <c r="X44">
        <f>IF(Source!BI28&lt;=1,I37+I38+I40+I41+I42-0, 0)</f>
        <v>101.14999999999999</v>
      </c>
      <c r="Y44">
        <f>IF(Source!BI28=2,I37+I38+I40+I41+I42-0, 0)</f>
        <v>0</v>
      </c>
      <c r="Z44">
        <f>IF(Source!BI28=3,I37+I38+I40+I41+I42-0, 0)</f>
        <v>0</v>
      </c>
      <c r="AA44">
        <f>IF(Source!BI28=4,I37+I38+I40+I41+I42,0)</f>
        <v>0</v>
      </c>
    </row>
    <row r="45" spans="1:27" ht="57" x14ac:dyDescent="0.2">
      <c r="A45" s="23">
        <v>2</v>
      </c>
      <c r="B45" s="23" t="s">
        <v>370</v>
      </c>
      <c r="C45" s="23" t="s">
        <v>31</v>
      </c>
      <c r="D45" s="24" t="str">
        <f>Source!H29</f>
        <v>1 т стальных элементов</v>
      </c>
      <c r="E45" s="10">
        <f>Source!I29</f>
        <v>6.5000000000000002E-2</v>
      </c>
      <c r="F45" s="26"/>
      <c r="G45" s="25"/>
      <c r="H45" s="10"/>
      <c r="I45" s="26"/>
      <c r="J45" s="10"/>
      <c r="K45" s="26"/>
      <c r="Q45">
        <f>ROUND((Source!DN29/100)*ROUND((Source!AF29*Source!AV29)*Source!I29, 2), 2)</f>
        <v>12.25</v>
      </c>
      <c r="R45">
        <f>Source!X29</f>
        <v>291.16000000000003</v>
      </c>
      <c r="S45">
        <f>ROUND((Source!DO29/100)*ROUND((Source!AF29*Source!AV29)*Source!I29, 2), 2)</f>
        <v>8.99</v>
      </c>
      <c r="T45">
        <f>Source!Y29</f>
        <v>137.21</v>
      </c>
      <c r="U45">
        <f>ROUND((175/100)*ROUND((Source!AE29*Source!AV29)*Source!I29, 2), 2)</f>
        <v>0.49</v>
      </c>
      <c r="V45">
        <f>ROUND((160/100)*ROUND(Source!CS29*Source!I29, 2), 2)</f>
        <v>12.64</v>
      </c>
    </row>
    <row r="46" spans="1:27" x14ac:dyDescent="0.2">
      <c r="C46" s="30" t="str">
        <f>"Объем: "&amp;Source!I29&amp;"=13,48*"&amp;"4,81/"&amp;"1000"</f>
        <v>Объем: 0,065=13,48*4,81/1000</v>
      </c>
    </row>
    <row r="47" spans="1:27" ht="14.25" x14ac:dyDescent="0.2">
      <c r="A47" s="23"/>
      <c r="B47" s="23"/>
      <c r="C47" s="23" t="s">
        <v>361</v>
      </c>
      <c r="D47" s="24"/>
      <c r="E47" s="10"/>
      <c r="F47" s="26">
        <f>Source!AO29</f>
        <v>571.75</v>
      </c>
      <c r="G47" s="25" t="str">
        <f>Source!DG29</f>
        <v>)*0,3</v>
      </c>
      <c r="H47" s="10">
        <f>Source!AV29</f>
        <v>1.0469999999999999</v>
      </c>
      <c r="I47" s="26">
        <f>ROUND((Source!AF29*Source!AV29)*Source!I29, 2)</f>
        <v>11.67</v>
      </c>
      <c r="J47" s="10">
        <f>IF(Source!BA29&lt;&gt; 0, Source!BA29, 1)</f>
        <v>28.67</v>
      </c>
      <c r="K47" s="26">
        <f>Source!S29</f>
        <v>334.67</v>
      </c>
      <c r="W47">
        <f>I47</f>
        <v>11.67</v>
      </c>
    </row>
    <row r="48" spans="1:27" ht="14.25" x14ac:dyDescent="0.2">
      <c r="A48" s="23"/>
      <c r="B48" s="23"/>
      <c r="C48" s="23" t="s">
        <v>362</v>
      </c>
      <c r="D48" s="24"/>
      <c r="E48" s="10"/>
      <c r="F48" s="26">
        <f>Source!AM29</f>
        <v>161.24</v>
      </c>
      <c r="G48" s="25" t="str">
        <f>Source!DE29</f>
        <v>)*0,3</v>
      </c>
      <c r="H48" s="10">
        <f>Source!AV29</f>
        <v>1.0469999999999999</v>
      </c>
      <c r="I48" s="26">
        <f>ROUND((Source!AD29*Source!AV29)*Source!I29, 2)</f>
        <v>3.29</v>
      </c>
      <c r="J48" s="10">
        <f>IF(Source!BB29&lt;&gt; 0, Source!BB29, 1)</f>
        <v>10.83</v>
      </c>
      <c r="K48" s="26">
        <f>Source!Q29</f>
        <v>35.65</v>
      </c>
    </row>
    <row r="49" spans="1:27" ht="14.25" x14ac:dyDescent="0.2">
      <c r="A49" s="23"/>
      <c r="B49" s="23"/>
      <c r="C49" s="23" t="s">
        <v>363</v>
      </c>
      <c r="D49" s="24"/>
      <c r="E49" s="10"/>
      <c r="F49" s="26">
        <f>Source!AN29</f>
        <v>13.5</v>
      </c>
      <c r="G49" s="25" t="str">
        <f>Source!DF29</f>
        <v>)*0,3</v>
      </c>
      <c r="H49" s="10">
        <f>Source!AV29</f>
        <v>1.0469999999999999</v>
      </c>
      <c r="I49" s="27">
        <f>ROUND((Source!AE29*Source!AV29)*Source!I29, 2)</f>
        <v>0.28000000000000003</v>
      </c>
      <c r="J49" s="10">
        <f>IF(Source!BS29&lt;&gt; 0, Source!BS29, 1)</f>
        <v>28.67</v>
      </c>
      <c r="K49" s="27">
        <f>Source!R29</f>
        <v>7.9</v>
      </c>
      <c r="W49">
        <f>I49</f>
        <v>0.28000000000000003</v>
      </c>
    </row>
    <row r="50" spans="1:27" ht="14.25" x14ac:dyDescent="0.2">
      <c r="A50" s="23"/>
      <c r="B50" s="23"/>
      <c r="C50" s="23" t="s">
        <v>364</v>
      </c>
      <c r="D50" s="24" t="s">
        <v>365</v>
      </c>
      <c r="E50" s="10">
        <f>Source!DN29</f>
        <v>105</v>
      </c>
      <c r="F50" s="26"/>
      <c r="G50" s="25"/>
      <c r="H50" s="10"/>
      <c r="I50" s="26">
        <f>SUM(Q45:Q49)</f>
        <v>12.25</v>
      </c>
      <c r="J50" s="10">
        <f>Source!BZ29</f>
        <v>87</v>
      </c>
      <c r="K50" s="26">
        <f>SUM(R45:R49)</f>
        <v>291.16000000000003</v>
      </c>
    </row>
    <row r="51" spans="1:27" ht="14.25" x14ac:dyDescent="0.2">
      <c r="A51" s="23"/>
      <c r="B51" s="23"/>
      <c r="C51" s="23" t="s">
        <v>366</v>
      </c>
      <c r="D51" s="24" t="s">
        <v>365</v>
      </c>
      <c r="E51" s="10">
        <f>Source!DO29</f>
        <v>77</v>
      </c>
      <c r="F51" s="26"/>
      <c r="G51" s="25"/>
      <c r="H51" s="10"/>
      <c r="I51" s="26">
        <f>SUM(S45:S50)</f>
        <v>8.99</v>
      </c>
      <c r="J51" s="10">
        <f>Source!CA29</f>
        <v>41</v>
      </c>
      <c r="K51" s="26">
        <f>SUM(T45:T50)</f>
        <v>137.21</v>
      </c>
    </row>
    <row r="52" spans="1:27" ht="14.25" x14ac:dyDescent="0.2">
      <c r="A52" s="23"/>
      <c r="B52" s="23"/>
      <c r="C52" s="23" t="s">
        <v>367</v>
      </c>
      <c r="D52" s="24" t="s">
        <v>365</v>
      </c>
      <c r="E52" s="10">
        <f>175</f>
        <v>175</v>
      </c>
      <c r="F52" s="26"/>
      <c r="G52" s="25"/>
      <c r="H52" s="10"/>
      <c r="I52" s="26">
        <f>SUM(U45:U51)</f>
        <v>0.49</v>
      </c>
      <c r="J52" s="10">
        <f>160</f>
        <v>160</v>
      </c>
      <c r="K52" s="26">
        <f>SUM(V45:V51)</f>
        <v>12.64</v>
      </c>
    </row>
    <row r="53" spans="1:27" ht="14.25" x14ac:dyDescent="0.2">
      <c r="A53" s="23"/>
      <c r="B53" s="23"/>
      <c r="C53" s="23" t="s">
        <v>368</v>
      </c>
      <c r="D53" s="24" t="s">
        <v>369</v>
      </c>
      <c r="E53" s="10">
        <f>Source!AQ29</f>
        <v>42.7</v>
      </c>
      <c r="F53" s="26"/>
      <c r="G53" s="25" t="str">
        <f>Source!DI29</f>
        <v>)*0,3</v>
      </c>
      <c r="H53" s="10">
        <f>Source!AV29</f>
        <v>1.0469999999999999</v>
      </c>
      <c r="I53" s="26">
        <f>Source!U29</f>
        <v>0.87178454999999999</v>
      </c>
      <c r="J53" s="10"/>
      <c r="K53" s="26"/>
    </row>
    <row r="54" spans="1:27" ht="15" x14ac:dyDescent="0.25">
      <c r="A54" s="29"/>
      <c r="B54" s="29"/>
      <c r="C54" s="29"/>
      <c r="D54" s="29"/>
      <c r="E54" s="29"/>
      <c r="F54" s="29"/>
      <c r="G54" s="29"/>
      <c r="H54" s="41">
        <f>I47+I48+I50+I51+I52</f>
        <v>36.690000000000005</v>
      </c>
      <c r="I54" s="41"/>
      <c r="J54" s="41">
        <f>K47+K48+K50+K51+K52</f>
        <v>811.33</v>
      </c>
      <c r="K54" s="41"/>
      <c r="O54" s="28">
        <f>I47+I48+I50+I51+I52</f>
        <v>36.690000000000005</v>
      </c>
      <c r="P54" s="28">
        <f>K47+K48+K50+K51+K52</f>
        <v>811.33</v>
      </c>
      <c r="X54">
        <f>IF(Source!BI29&lt;=1,I47+I48+I50+I51+I52-0, 0)</f>
        <v>36.690000000000005</v>
      </c>
      <c r="Y54">
        <f>IF(Source!BI29=2,I47+I48+I50+I51+I52-0, 0)</f>
        <v>0</v>
      </c>
      <c r="Z54">
        <f>IF(Source!BI29=3,I47+I48+I50+I51+I52-0, 0)</f>
        <v>0</v>
      </c>
      <c r="AA54">
        <f>IF(Source!BI29=4,I47+I48+I50+I51+I52,0)</f>
        <v>0</v>
      </c>
    </row>
    <row r="55" spans="1:27" ht="65.25" x14ac:dyDescent="0.2">
      <c r="A55" s="23">
        <v>3</v>
      </c>
      <c r="B55" s="23" t="s">
        <v>371</v>
      </c>
      <c r="C55" s="23" t="s">
        <v>38</v>
      </c>
      <c r="D55" s="24" t="str">
        <f>Source!H30</f>
        <v>1 подстанция</v>
      </c>
      <c r="E55" s="10">
        <f>Source!I30</f>
        <v>1</v>
      </c>
      <c r="F55" s="26"/>
      <c r="G55" s="25"/>
      <c r="H55" s="10"/>
      <c r="I55" s="26"/>
      <c r="J55" s="10"/>
      <c r="K55" s="26"/>
      <c r="Q55">
        <f>ROUND((Source!DN30/100)*ROUND((Source!AF30*Source!AV30)*Source!I30, 2), 2)</f>
        <v>128.13999999999999</v>
      </c>
      <c r="R55">
        <f>Source!X30</f>
        <v>3017.69</v>
      </c>
      <c r="S55">
        <f>ROUND((Source!DO30/100)*ROUND((Source!AF30*Source!AV30)*Source!I30, 2), 2)</f>
        <v>80.09</v>
      </c>
      <c r="T55">
        <f>Source!Y30</f>
        <v>1410.44</v>
      </c>
      <c r="U55">
        <f>ROUND((175/100)*ROUND((Source!AE30*Source!AV30)*Source!I30, 2), 2)</f>
        <v>14.63</v>
      </c>
      <c r="V55">
        <f>ROUND((160/100)*ROUND(Source!CS30*Source!I30, 2), 2)</f>
        <v>383.39</v>
      </c>
    </row>
    <row r="56" spans="1:27" ht="14.25" x14ac:dyDescent="0.2">
      <c r="A56" s="23"/>
      <c r="B56" s="23"/>
      <c r="C56" s="23" t="s">
        <v>361</v>
      </c>
      <c r="D56" s="24"/>
      <c r="E56" s="10"/>
      <c r="F56" s="26">
        <f>Source!AO30</f>
        <v>350.84</v>
      </c>
      <c r="G56" s="25" t="str">
        <f>Source!DG30</f>
        <v>)*0,3</v>
      </c>
      <c r="H56" s="10">
        <f>Source!AV30</f>
        <v>1.087</v>
      </c>
      <c r="I56" s="26">
        <f>ROUND((Source!AF30*Source!AV30)*Source!I30, 2)</f>
        <v>114.41</v>
      </c>
      <c r="J56" s="10">
        <f>IF(Source!BA30&lt;&gt; 0, Source!BA30, 1)</f>
        <v>28.67</v>
      </c>
      <c r="K56" s="26">
        <f>Source!S30</f>
        <v>3280.1</v>
      </c>
      <c r="W56">
        <f>I56</f>
        <v>114.41</v>
      </c>
    </row>
    <row r="57" spans="1:27" ht="14.25" x14ac:dyDescent="0.2">
      <c r="A57" s="23"/>
      <c r="B57" s="23"/>
      <c r="C57" s="23" t="s">
        <v>362</v>
      </c>
      <c r="D57" s="24"/>
      <c r="E57" s="10"/>
      <c r="F57" s="26">
        <f>Source!AM30</f>
        <v>169.62</v>
      </c>
      <c r="G57" s="25" t="str">
        <f>Source!DE30</f>
        <v>)*0,3</v>
      </c>
      <c r="H57" s="10">
        <f>Source!AV30</f>
        <v>1.087</v>
      </c>
      <c r="I57" s="26">
        <f>ROUND((Source!AD30*Source!AV30)*Source!I30, 2)</f>
        <v>55.31</v>
      </c>
      <c r="J57" s="10">
        <f>IF(Source!BB30&lt;&gt; 0, Source!BB30, 1)</f>
        <v>10.68</v>
      </c>
      <c r="K57" s="26">
        <f>Source!Q30</f>
        <v>590.74</v>
      </c>
    </row>
    <row r="58" spans="1:27" ht="14.25" x14ac:dyDescent="0.2">
      <c r="A58" s="23"/>
      <c r="B58" s="23"/>
      <c r="C58" s="23" t="s">
        <v>363</v>
      </c>
      <c r="D58" s="24"/>
      <c r="E58" s="10"/>
      <c r="F58" s="26">
        <f>Source!AN30</f>
        <v>25.63</v>
      </c>
      <c r="G58" s="25" t="str">
        <f>Source!DF30</f>
        <v>)*0,3</v>
      </c>
      <c r="H58" s="10">
        <f>Source!AV30</f>
        <v>1.087</v>
      </c>
      <c r="I58" s="27">
        <f>ROUND((Source!AE30*Source!AV30)*Source!I30, 2)</f>
        <v>8.36</v>
      </c>
      <c r="J58" s="10">
        <f>IF(Source!BS30&lt;&gt; 0, Source!BS30, 1)</f>
        <v>28.67</v>
      </c>
      <c r="K58" s="27">
        <f>Source!R30</f>
        <v>239.62</v>
      </c>
      <c r="W58">
        <f>I58</f>
        <v>8.36</v>
      </c>
    </row>
    <row r="59" spans="1:27" ht="14.25" x14ac:dyDescent="0.2">
      <c r="A59" s="23"/>
      <c r="B59" s="23"/>
      <c r="C59" s="23" t="s">
        <v>364</v>
      </c>
      <c r="D59" s="24" t="s">
        <v>365</v>
      </c>
      <c r="E59" s="10">
        <f>Source!DN30</f>
        <v>112</v>
      </c>
      <c r="F59" s="26"/>
      <c r="G59" s="25"/>
      <c r="H59" s="10"/>
      <c r="I59" s="26">
        <f>SUM(Q55:Q58)</f>
        <v>128.13999999999999</v>
      </c>
      <c r="J59" s="10">
        <f>Source!BZ30</f>
        <v>92</v>
      </c>
      <c r="K59" s="26">
        <f>SUM(R55:R58)</f>
        <v>3017.69</v>
      </c>
    </row>
    <row r="60" spans="1:27" ht="14.25" x14ac:dyDescent="0.2">
      <c r="A60" s="23"/>
      <c r="B60" s="23"/>
      <c r="C60" s="23" t="s">
        <v>366</v>
      </c>
      <c r="D60" s="24" t="s">
        <v>365</v>
      </c>
      <c r="E60" s="10">
        <f>Source!DO30</f>
        <v>70</v>
      </c>
      <c r="F60" s="26"/>
      <c r="G60" s="25"/>
      <c r="H60" s="10"/>
      <c r="I60" s="26">
        <f>SUM(S55:S59)</f>
        <v>80.09</v>
      </c>
      <c r="J60" s="10">
        <f>Source!CA30</f>
        <v>43</v>
      </c>
      <c r="K60" s="26">
        <f>SUM(T55:T59)</f>
        <v>1410.44</v>
      </c>
    </row>
    <row r="61" spans="1:27" ht="14.25" x14ac:dyDescent="0.2">
      <c r="A61" s="23"/>
      <c r="B61" s="23"/>
      <c r="C61" s="23" t="s">
        <v>367</v>
      </c>
      <c r="D61" s="24" t="s">
        <v>365</v>
      </c>
      <c r="E61" s="10">
        <f>175</f>
        <v>175</v>
      </c>
      <c r="F61" s="26"/>
      <c r="G61" s="25"/>
      <c r="H61" s="10"/>
      <c r="I61" s="26">
        <f>SUM(U55:U60)</f>
        <v>14.63</v>
      </c>
      <c r="J61" s="10">
        <f>160</f>
        <v>160</v>
      </c>
      <c r="K61" s="26">
        <f>SUM(V55:V60)</f>
        <v>383.39</v>
      </c>
    </row>
    <row r="62" spans="1:27" ht="14.25" x14ac:dyDescent="0.2">
      <c r="A62" s="23"/>
      <c r="B62" s="23"/>
      <c r="C62" s="23" t="s">
        <v>368</v>
      </c>
      <c r="D62" s="24" t="s">
        <v>369</v>
      </c>
      <c r="E62" s="10">
        <f>Source!AQ30</f>
        <v>27.8</v>
      </c>
      <c r="F62" s="26"/>
      <c r="G62" s="25" t="str">
        <f>Source!DI30</f>
        <v>)*0,3</v>
      </c>
      <c r="H62" s="10">
        <f>Source!AV30</f>
        <v>1.087</v>
      </c>
      <c r="I62" s="26">
        <f>Source!U30</f>
        <v>9.0655799999999989</v>
      </c>
      <c r="J62" s="10"/>
      <c r="K62" s="26"/>
    </row>
    <row r="63" spans="1:27" ht="15" x14ac:dyDescent="0.25">
      <c r="A63" s="29"/>
      <c r="B63" s="29"/>
      <c r="C63" s="29"/>
      <c r="D63" s="29"/>
      <c r="E63" s="29"/>
      <c r="F63" s="29"/>
      <c r="G63" s="29"/>
      <c r="H63" s="41">
        <f>I56+I57+I59+I60+I61</f>
        <v>392.58000000000004</v>
      </c>
      <c r="I63" s="41"/>
      <c r="J63" s="41">
        <f>K56+K57+K59+K60+K61</f>
        <v>8682.36</v>
      </c>
      <c r="K63" s="41"/>
      <c r="O63" s="28">
        <f>I56+I57+I59+I60+I61</f>
        <v>392.58000000000004</v>
      </c>
      <c r="P63" s="28">
        <f>K56+K57+K59+K60+K61</f>
        <v>8682.36</v>
      </c>
      <c r="X63">
        <f>IF(Source!BI30&lt;=1,I56+I57+I59+I60+I61-0, 0)</f>
        <v>0</v>
      </c>
      <c r="Y63">
        <f>IF(Source!BI30=2,I56+I57+I59+I60+I61-0, 0)</f>
        <v>392.58000000000004</v>
      </c>
      <c r="Z63">
        <f>IF(Source!BI30=3,I56+I57+I59+I60+I61-0, 0)</f>
        <v>0</v>
      </c>
      <c r="AA63">
        <f>IF(Source!BI30=4,I56+I57+I59+I60+I61,0)</f>
        <v>0</v>
      </c>
    </row>
    <row r="64" spans="1:27" ht="71.25" x14ac:dyDescent="0.2">
      <c r="A64" s="23">
        <v>4</v>
      </c>
      <c r="B64" s="23" t="s">
        <v>372</v>
      </c>
      <c r="C64" s="23" t="s">
        <v>48</v>
      </c>
      <c r="D64" s="24" t="str">
        <f>Source!H31</f>
        <v>1  ШТ.</v>
      </c>
      <c r="E64" s="10">
        <f>Source!I31</f>
        <v>1</v>
      </c>
      <c r="F64" s="26"/>
      <c r="G64" s="25"/>
      <c r="H64" s="10"/>
      <c r="I64" s="26"/>
      <c r="J64" s="10"/>
      <c r="K64" s="26"/>
      <c r="Q64">
        <f>ROUND((Source!DN31/100)*ROUND((Source!AF31*Source!AV31)*Source!I31, 2), 2)</f>
        <v>122.53</v>
      </c>
      <c r="R64">
        <f>Source!X31</f>
        <v>2885.69</v>
      </c>
      <c r="S64">
        <f>ROUND((Source!DO31/100)*ROUND((Source!AF31*Source!AV31)*Source!I31, 2), 2)</f>
        <v>76.58</v>
      </c>
      <c r="T64">
        <f>Source!Y31</f>
        <v>1348.75</v>
      </c>
      <c r="U64">
        <f>ROUND((175/100)*ROUND((Source!AE31*Source!AV31)*Source!I31, 2), 2)</f>
        <v>57.49</v>
      </c>
      <c r="V64">
        <f>ROUND((160/100)*ROUND(Source!CS31*Source!I31, 2), 2)</f>
        <v>1506.98</v>
      </c>
    </row>
    <row r="65" spans="1:27" ht="14.25" x14ac:dyDescent="0.2">
      <c r="A65" s="23"/>
      <c r="B65" s="23"/>
      <c r="C65" s="23" t="s">
        <v>361</v>
      </c>
      <c r="D65" s="24"/>
      <c r="E65" s="10"/>
      <c r="F65" s="26">
        <f>Source!AO31</f>
        <v>348.31</v>
      </c>
      <c r="G65" s="25" t="str">
        <f>Source!DG31</f>
        <v>)*0,3</v>
      </c>
      <c r="H65" s="10">
        <f>Source!AV31</f>
        <v>1.0469999999999999</v>
      </c>
      <c r="I65" s="26">
        <f>ROUND((Source!AF31*Source!AV31)*Source!I31, 2)</f>
        <v>109.4</v>
      </c>
      <c r="J65" s="10">
        <f>IF(Source!BA31&lt;&gt; 0, Source!BA31, 1)</f>
        <v>28.67</v>
      </c>
      <c r="K65" s="26">
        <f>Source!S31</f>
        <v>3136.62</v>
      </c>
      <c r="W65">
        <f>I65</f>
        <v>109.4</v>
      </c>
    </row>
    <row r="66" spans="1:27" ht="14.25" x14ac:dyDescent="0.2">
      <c r="A66" s="23"/>
      <c r="B66" s="23"/>
      <c r="C66" s="23" t="s">
        <v>362</v>
      </c>
      <c r="D66" s="24"/>
      <c r="E66" s="10"/>
      <c r="F66" s="26">
        <f>Source!AM31</f>
        <v>450.39</v>
      </c>
      <c r="G66" s="25" t="str">
        <f>Source!DE31</f>
        <v>)*0,3</v>
      </c>
      <c r="H66" s="10">
        <f>Source!AV31</f>
        <v>1.0469999999999999</v>
      </c>
      <c r="I66" s="26">
        <f>ROUND((Source!AD31*Source!AV31)*Source!I31, 2)</f>
        <v>141.47</v>
      </c>
      <c r="J66" s="10">
        <f>IF(Source!BB31&lt;&gt; 0, Source!BB31, 1)</f>
        <v>12.4</v>
      </c>
      <c r="K66" s="26">
        <f>Source!Q31</f>
        <v>1754.2</v>
      </c>
    </row>
    <row r="67" spans="1:27" ht="14.25" x14ac:dyDescent="0.2">
      <c r="A67" s="23"/>
      <c r="B67" s="23"/>
      <c r="C67" s="23" t="s">
        <v>363</v>
      </c>
      <c r="D67" s="24"/>
      <c r="E67" s="10"/>
      <c r="F67" s="26">
        <f>Source!AN31</f>
        <v>104.59</v>
      </c>
      <c r="G67" s="25" t="str">
        <f>Source!DF31</f>
        <v>)*0,3</v>
      </c>
      <c r="H67" s="10">
        <f>Source!AV31</f>
        <v>1.0469999999999999</v>
      </c>
      <c r="I67" s="27">
        <f>ROUND((Source!AE31*Source!AV31)*Source!I31, 2)</f>
        <v>32.85</v>
      </c>
      <c r="J67" s="10">
        <f>IF(Source!BS31&lt;&gt; 0, Source!BS31, 1)</f>
        <v>28.67</v>
      </c>
      <c r="K67" s="27">
        <f>Source!R31</f>
        <v>941.86</v>
      </c>
      <c r="W67">
        <f>I67</f>
        <v>32.85</v>
      </c>
    </row>
    <row r="68" spans="1:27" ht="14.25" x14ac:dyDescent="0.2">
      <c r="A68" s="23"/>
      <c r="B68" s="23"/>
      <c r="C68" s="23" t="s">
        <v>364</v>
      </c>
      <c r="D68" s="24" t="s">
        <v>365</v>
      </c>
      <c r="E68" s="10">
        <f>Source!DN31</f>
        <v>112</v>
      </c>
      <c r="F68" s="26"/>
      <c r="G68" s="25"/>
      <c r="H68" s="10"/>
      <c r="I68" s="26">
        <f>SUM(Q64:Q67)</f>
        <v>122.53</v>
      </c>
      <c r="J68" s="10">
        <f>Source!BZ31</f>
        <v>92</v>
      </c>
      <c r="K68" s="26">
        <f>SUM(R64:R67)</f>
        <v>2885.69</v>
      </c>
    </row>
    <row r="69" spans="1:27" ht="14.25" x14ac:dyDescent="0.2">
      <c r="A69" s="23"/>
      <c r="B69" s="23"/>
      <c r="C69" s="23" t="s">
        <v>366</v>
      </c>
      <c r="D69" s="24" t="s">
        <v>365</v>
      </c>
      <c r="E69" s="10">
        <f>Source!DO31</f>
        <v>70</v>
      </c>
      <c r="F69" s="26"/>
      <c r="G69" s="25"/>
      <c r="H69" s="10"/>
      <c r="I69" s="26">
        <f>SUM(S64:S68)</f>
        <v>76.58</v>
      </c>
      <c r="J69" s="10">
        <f>Source!CA31</f>
        <v>43</v>
      </c>
      <c r="K69" s="26">
        <f>SUM(T64:T68)</f>
        <v>1348.75</v>
      </c>
    </row>
    <row r="70" spans="1:27" ht="14.25" x14ac:dyDescent="0.2">
      <c r="A70" s="23"/>
      <c r="B70" s="23"/>
      <c r="C70" s="23" t="s">
        <v>367</v>
      </c>
      <c r="D70" s="24" t="s">
        <v>365</v>
      </c>
      <c r="E70" s="10">
        <f>175</f>
        <v>175</v>
      </c>
      <c r="F70" s="26"/>
      <c r="G70" s="25"/>
      <c r="H70" s="10"/>
      <c r="I70" s="26">
        <f>SUM(U64:U69)</f>
        <v>57.49</v>
      </c>
      <c r="J70" s="10">
        <f>160</f>
        <v>160</v>
      </c>
      <c r="K70" s="26">
        <f>SUM(V64:V69)</f>
        <v>1506.98</v>
      </c>
    </row>
    <row r="71" spans="1:27" ht="14.25" x14ac:dyDescent="0.2">
      <c r="A71" s="23"/>
      <c r="B71" s="23"/>
      <c r="C71" s="23" t="s">
        <v>368</v>
      </c>
      <c r="D71" s="24" t="s">
        <v>369</v>
      </c>
      <c r="E71" s="10">
        <f>Source!AQ31</f>
        <v>27.6</v>
      </c>
      <c r="F71" s="26"/>
      <c r="G71" s="25" t="str">
        <f>Source!DI31</f>
        <v>)*0,3</v>
      </c>
      <c r="H71" s="10">
        <f>Source!AV31</f>
        <v>1.0469999999999999</v>
      </c>
      <c r="I71" s="26">
        <f>Source!U31</f>
        <v>8.669159999999998</v>
      </c>
      <c r="J71" s="10"/>
      <c r="K71" s="26"/>
    </row>
    <row r="72" spans="1:27" ht="15" x14ac:dyDescent="0.25">
      <c r="A72" s="29"/>
      <c r="B72" s="29"/>
      <c r="C72" s="29"/>
      <c r="D72" s="29"/>
      <c r="E72" s="29"/>
      <c r="F72" s="29"/>
      <c r="G72" s="29"/>
      <c r="H72" s="41">
        <f>I65+I66+I68+I69+I70</f>
        <v>507.46999999999997</v>
      </c>
      <c r="I72" s="41"/>
      <c r="J72" s="41">
        <f>K65+K66+K68+K69+K70</f>
        <v>10632.24</v>
      </c>
      <c r="K72" s="41"/>
      <c r="O72" s="28">
        <f>I65+I66+I68+I69+I70</f>
        <v>507.46999999999997</v>
      </c>
      <c r="P72" s="28">
        <f>K65+K66+K68+K69+K70</f>
        <v>10632.24</v>
      </c>
      <c r="X72">
        <f>IF(Source!BI31&lt;=1,I65+I66+I68+I69+I70-0, 0)</f>
        <v>0</v>
      </c>
      <c r="Y72">
        <f>IF(Source!BI31=2,I65+I66+I68+I69+I70-0, 0)</f>
        <v>507.46999999999997</v>
      </c>
      <c r="Z72">
        <f>IF(Source!BI31=3,I65+I66+I68+I69+I70-0, 0)</f>
        <v>0</v>
      </c>
      <c r="AA72">
        <f>IF(Source!BI31=4,I65+I66+I68+I69+I70,0)</f>
        <v>0</v>
      </c>
    </row>
    <row r="73" spans="1:27" ht="42.75" x14ac:dyDescent="0.2">
      <c r="A73" s="23">
        <v>5</v>
      </c>
      <c r="B73" s="23" t="str">
        <f>Source!F32</f>
        <v>6.69-19-1</v>
      </c>
      <c r="C73" s="23" t="s">
        <v>55</v>
      </c>
      <c r="D73" s="24" t="str">
        <f>Source!H32</f>
        <v>1 Т</v>
      </c>
      <c r="E73" s="10">
        <f>Source!I32</f>
        <v>7.93</v>
      </c>
      <c r="F73" s="26"/>
      <c r="G73" s="25"/>
      <c r="H73" s="10"/>
      <c r="I73" s="26"/>
      <c r="J73" s="10"/>
      <c r="K73" s="26"/>
      <c r="Q73">
        <f>ROUND((Source!DN32/100)*ROUND((Source!AF32*Source!AV32)*Source!I32, 2), 2)</f>
        <v>72.680000000000007</v>
      </c>
      <c r="R73">
        <f>Source!X32</f>
        <v>1717.45</v>
      </c>
      <c r="S73">
        <f>ROUND((Source!DO32/100)*ROUND((Source!AF32*Source!AV32)*Source!I32, 2), 2)</f>
        <v>55.91</v>
      </c>
      <c r="T73">
        <f>Source!Y32</f>
        <v>938.87</v>
      </c>
      <c r="U73">
        <f>ROUND((175/100)*ROUND((Source!AE32*Source!AV32)*Source!I32, 2), 2)</f>
        <v>0</v>
      </c>
      <c r="V73">
        <f>ROUND((160/100)*ROUND(Source!CS32*Source!I32, 2), 2)</f>
        <v>0</v>
      </c>
    </row>
    <row r="74" spans="1:27" x14ac:dyDescent="0.2">
      <c r="C74" s="30" t="str">
        <f>"Объем: "&amp;Source!I32&amp;"=(1,165+"&amp;"1,3+"&amp;"1,5+"&amp;"1,3*"&amp;"3)+"&amp;""&amp;Source!I29&amp;""</f>
        <v>Объем: 7,93=(1,165+1,3+1,5+1,3*3)+0,065</v>
      </c>
    </row>
    <row r="75" spans="1:27" ht="14.25" x14ac:dyDescent="0.2">
      <c r="A75" s="23"/>
      <c r="B75" s="23"/>
      <c r="C75" s="23" t="s">
        <v>361</v>
      </c>
      <c r="D75" s="24"/>
      <c r="E75" s="10"/>
      <c r="F75" s="26">
        <f>Source!AO32</f>
        <v>9.6199999999999992</v>
      </c>
      <c r="G75" s="25" t="str">
        <f>Source!DG32</f>
        <v/>
      </c>
      <c r="H75" s="10">
        <f>Source!AV32</f>
        <v>1.0469999999999999</v>
      </c>
      <c r="I75" s="26">
        <f>ROUND((Source!AF32*Source!AV32)*Source!I32, 2)</f>
        <v>79.87</v>
      </c>
      <c r="J75" s="10">
        <f>IF(Source!BA32&lt;&gt; 0, Source!BA32, 1)</f>
        <v>28.67</v>
      </c>
      <c r="K75" s="26">
        <f>Source!S32</f>
        <v>2289.9299999999998</v>
      </c>
      <c r="W75">
        <f>I75</f>
        <v>79.87</v>
      </c>
    </row>
    <row r="76" spans="1:27" ht="14.25" x14ac:dyDescent="0.2">
      <c r="A76" s="23"/>
      <c r="B76" s="23"/>
      <c r="C76" s="23" t="s">
        <v>364</v>
      </c>
      <c r="D76" s="24" t="s">
        <v>365</v>
      </c>
      <c r="E76" s="10">
        <f>Source!DN32</f>
        <v>91</v>
      </c>
      <c r="F76" s="26"/>
      <c r="G76" s="25"/>
      <c r="H76" s="10"/>
      <c r="I76" s="26">
        <f>SUM(Q73:Q75)</f>
        <v>72.680000000000007</v>
      </c>
      <c r="J76" s="10">
        <f>Source!BZ32</f>
        <v>75</v>
      </c>
      <c r="K76" s="26">
        <f>SUM(R73:R75)</f>
        <v>1717.45</v>
      </c>
    </row>
    <row r="77" spans="1:27" ht="14.25" x14ac:dyDescent="0.2">
      <c r="A77" s="23"/>
      <c r="B77" s="23"/>
      <c r="C77" s="23" t="s">
        <v>366</v>
      </c>
      <c r="D77" s="24" t="s">
        <v>365</v>
      </c>
      <c r="E77" s="10">
        <f>Source!DO32</f>
        <v>70</v>
      </c>
      <c r="F77" s="26"/>
      <c r="G77" s="25"/>
      <c r="H77" s="10"/>
      <c r="I77" s="26">
        <f>SUM(S73:S76)</f>
        <v>55.91</v>
      </c>
      <c r="J77" s="10">
        <f>Source!CA32</f>
        <v>41</v>
      </c>
      <c r="K77" s="26">
        <f>SUM(T73:T76)</f>
        <v>938.87</v>
      </c>
    </row>
    <row r="78" spans="1:27" ht="14.25" x14ac:dyDescent="0.2">
      <c r="A78" s="23"/>
      <c r="B78" s="23"/>
      <c r="C78" s="23" t="s">
        <v>368</v>
      </c>
      <c r="D78" s="24" t="s">
        <v>369</v>
      </c>
      <c r="E78" s="10">
        <f>Source!AQ32</f>
        <v>1.02</v>
      </c>
      <c r="F78" s="26"/>
      <c r="G78" s="25" t="str">
        <f>Source!DI32</f>
        <v/>
      </c>
      <c r="H78" s="10">
        <f>Source!AV32</f>
        <v>1.0469999999999999</v>
      </c>
      <c r="I78" s="26">
        <f>Source!U32</f>
        <v>8.468764199999999</v>
      </c>
      <c r="J78" s="10"/>
      <c r="K78" s="26"/>
    </row>
    <row r="79" spans="1:27" ht="15" x14ac:dyDescent="0.25">
      <c r="A79" s="29"/>
      <c r="B79" s="29"/>
      <c r="C79" s="29"/>
      <c r="D79" s="29"/>
      <c r="E79" s="29"/>
      <c r="F79" s="29"/>
      <c r="G79" s="29"/>
      <c r="H79" s="41">
        <f>I75+I76+I77</f>
        <v>208.46</v>
      </c>
      <c r="I79" s="41"/>
      <c r="J79" s="41">
        <f>K75+K76+K77</f>
        <v>4946.25</v>
      </c>
      <c r="K79" s="41"/>
      <c r="O79" s="28">
        <f>I75+I76+I77</f>
        <v>208.46</v>
      </c>
      <c r="P79" s="28">
        <f>K75+K76+K77</f>
        <v>4946.25</v>
      </c>
      <c r="X79">
        <f>IF(Source!BI32&lt;=1,I75+I76+I77-0, 0)</f>
        <v>208.46</v>
      </c>
      <c r="Y79">
        <f>IF(Source!BI32=2,I75+I76+I77-0, 0)</f>
        <v>0</v>
      </c>
      <c r="Z79">
        <f>IF(Source!BI32=3,I75+I76+I77-0, 0)</f>
        <v>0</v>
      </c>
      <c r="AA79">
        <f>IF(Source!BI32=4,I75+I76+I77,0)</f>
        <v>0</v>
      </c>
    </row>
    <row r="80" spans="1:27" ht="42.75" x14ac:dyDescent="0.2">
      <c r="A80" s="23">
        <v>6</v>
      </c>
      <c r="B80" s="23" t="str">
        <f>Source!F33</f>
        <v>15.2-20-10</v>
      </c>
      <c r="C80" s="23" t="s">
        <v>63</v>
      </c>
      <c r="D80" s="24" t="str">
        <f>Source!H33</f>
        <v>т</v>
      </c>
      <c r="E80" s="10">
        <f>Source!I33</f>
        <v>7.93</v>
      </c>
      <c r="F80" s="26"/>
      <c r="G80" s="25"/>
      <c r="H80" s="10"/>
      <c r="I80" s="26"/>
      <c r="J80" s="10"/>
      <c r="K80" s="26"/>
      <c r="Q80">
        <f>ROUND((Source!DN33/100)*ROUND((Source!AF33*Source!AV33)*Source!I33, 2), 2)</f>
        <v>0</v>
      </c>
      <c r="R80">
        <f>Source!X33</f>
        <v>0</v>
      </c>
      <c r="S80">
        <f>ROUND((Source!DO33/100)*ROUND((Source!AF33*Source!AV33)*Source!I33, 2), 2)</f>
        <v>0</v>
      </c>
      <c r="T80">
        <f>Source!Y33</f>
        <v>0</v>
      </c>
      <c r="U80">
        <f>ROUND((175/100)*ROUND((Source!AE33*Source!AV33)*Source!I33, 2), 2)</f>
        <v>0</v>
      </c>
      <c r="V80">
        <f>ROUND((160/100)*ROUND(Source!CS33*Source!I33, 2), 2)</f>
        <v>0</v>
      </c>
    </row>
    <row r="81" spans="1:27" ht="14.25" x14ac:dyDescent="0.2">
      <c r="A81" s="23"/>
      <c r="B81" s="23"/>
      <c r="C81" s="23" t="s">
        <v>362</v>
      </c>
      <c r="D81" s="24"/>
      <c r="E81" s="10"/>
      <c r="F81" s="26">
        <f>Source!AM33</f>
        <v>20.54</v>
      </c>
      <c r="G81" s="25" t="str">
        <f>Source!DE33</f>
        <v/>
      </c>
      <c r="H81" s="10">
        <f>Source!AV33</f>
        <v>1</v>
      </c>
      <c r="I81" s="26">
        <f>ROUND((Source!AD33*Source!AV33)*Source!I33, 2)</f>
        <v>162.88</v>
      </c>
      <c r="J81" s="10">
        <f>IF(Source!BB33&lt;&gt; 0, Source!BB33, 1)</f>
        <v>13.33</v>
      </c>
      <c r="K81" s="26">
        <f>Source!Q33</f>
        <v>2171.2199999999998</v>
      </c>
    </row>
    <row r="82" spans="1:27" ht="15" x14ac:dyDescent="0.25">
      <c r="A82" s="29"/>
      <c r="B82" s="29"/>
      <c r="C82" s="29"/>
      <c r="D82" s="29"/>
      <c r="E82" s="29"/>
      <c r="F82" s="29"/>
      <c r="G82" s="29"/>
      <c r="H82" s="41">
        <f>I81</f>
        <v>162.88</v>
      </c>
      <c r="I82" s="41"/>
      <c r="J82" s="41">
        <f>K81</f>
        <v>2171.2199999999998</v>
      </c>
      <c r="K82" s="41"/>
      <c r="O82" s="28">
        <f>I81</f>
        <v>162.88</v>
      </c>
      <c r="P82" s="28">
        <f>K81</f>
        <v>2171.2199999999998</v>
      </c>
      <c r="X82">
        <f>IF(Source!BI33&lt;=1,I81-0, 0)</f>
        <v>0</v>
      </c>
      <c r="Y82">
        <f>IF(Source!BI33=2,I81-0, 0)</f>
        <v>0</v>
      </c>
      <c r="Z82">
        <f>IF(Source!BI33=3,I81-0, 0)</f>
        <v>0</v>
      </c>
      <c r="AA82">
        <f>IF(Source!BI33=4,I81,0)</f>
        <v>162.88</v>
      </c>
    </row>
    <row r="84" spans="1:27" ht="15" x14ac:dyDescent="0.25">
      <c r="A84" s="40" t="str">
        <f>CONCATENATE("Итого по разделу: ",IF(Source!G35&lt;&gt;"Новый раздел", Source!G35, ""))</f>
        <v>Итого по разделу: Демонтажные работы</v>
      </c>
      <c r="B84" s="40"/>
      <c r="C84" s="40"/>
      <c r="D84" s="40"/>
      <c r="E84" s="40"/>
      <c r="F84" s="40"/>
      <c r="G84" s="40"/>
      <c r="H84" s="38">
        <f>SUM(O35:O83)</f>
        <v>1409.23</v>
      </c>
      <c r="I84" s="39"/>
      <c r="J84" s="38">
        <f>SUM(P35:P83)</f>
        <v>29271.170000000002</v>
      </c>
      <c r="K84" s="39"/>
    </row>
    <row r="85" spans="1:27" hidden="1" x14ac:dyDescent="0.2">
      <c r="A85" t="s">
        <v>373</v>
      </c>
      <c r="H85">
        <f>SUM(AC35:AC84)</f>
        <v>0</v>
      </c>
      <c r="J85">
        <f>SUM(AD35:AD84)</f>
        <v>0</v>
      </c>
    </row>
    <row r="86" spans="1:27" hidden="1" x14ac:dyDescent="0.2">
      <c r="A86" t="s">
        <v>374</v>
      </c>
      <c r="H86">
        <f>SUM(AE35:AE85)</f>
        <v>0</v>
      </c>
      <c r="J86">
        <f>SUM(AF35:AF85)</f>
        <v>0</v>
      </c>
    </row>
    <row r="88" spans="1:27" ht="16.5" x14ac:dyDescent="0.25">
      <c r="A88" s="42" t="str">
        <f>CONCATENATE("Раздел: ",IF(Source!G65&lt;&gt;"Новый раздел", Source!G65, ""))</f>
        <v>Раздел: Строительно-монтажные работы</v>
      </c>
      <c r="B88" s="42"/>
      <c r="C88" s="42"/>
      <c r="D88" s="42"/>
      <c r="E88" s="42"/>
      <c r="F88" s="42"/>
      <c r="G88" s="42"/>
      <c r="H88" s="42"/>
      <c r="I88" s="42"/>
      <c r="J88" s="42"/>
      <c r="K88" s="42"/>
    </row>
    <row r="89" spans="1:27" ht="14.25" x14ac:dyDescent="0.2">
      <c r="C89" s="31" t="str">
        <f>Source!G69</f>
        <v>Фундамент</v>
      </c>
    </row>
    <row r="90" spans="1:27" ht="28.5" x14ac:dyDescent="0.2">
      <c r="A90" s="23">
        <v>7</v>
      </c>
      <c r="B90" s="23" t="str">
        <f>Source!F70</f>
        <v>3.8-1-1</v>
      </c>
      <c r="C90" s="23" t="s">
        <v>127</v>
      </c>
      <c r="D90" s="24" t="str">
        <f>Source!H70</f>
        <v>1 м3 основания</v>
      </c>
      <c r="E90" s="10">
        <f>Source!I70</f>
        <v>1.7</v>
      </c>
      <c r="F90" s="26"/>
      <c r="G90" s="25"/>
      <c r="H90" s="10"/>
      <c r="I90" s="26"/>
      <c r="J90" s="10"/>
      <c r="K90" s="26"/>
      <c r="Q90">
        <f>ROUND((Source!DN70/100)*ROUND((Source!AF70*Source!AV70)*Source!I70, 2), 2)</f>
        <v>15.17</v>
      </c>
      <c r="R90">
        <f>Source!X70</f>
        <v>360.49</v>
      </c>
      <c r="S90">
        <f>ROUND((Source!DO70/100)*ROUND((Source!AF70*Source!AV70)*Source!I70, 2), 2)</f>
        <v>11.13</v>
      </c>
      <c r="T90">
        <f>Source!Y70</f>
        <v>169.89</v>
      </c>
      <c r="U90">
        <f>ROUND((175/100)*ROUND((Source!AE70*Source!AV70)*Source!I70, 2), 2)</f>
        <v>10.34</v>
      </c>
      <c r="V90">
        <f>ROUND((160/100)*ROUND(Source!CS70*Source!I70, 2), 2)</f>
        <v>271.07</v>
      </c>
    </row>
    <row r="91" spans="1:27" ht="14.25" x14ac:dyDescent="0.2">
      <c r="A91" s="23"/>
      <c r="B91" s="23"/>
      <c r="C91" s="23" t="s">
        <v>361</v>
      </c>
      <c r="D91" s="24"/>
      <c r="E91" s="10"/>
      <c r="F91" s="26">
        <f>Source!AO70</f>
        <v>8.1199999999999992</v>
      </c>
      <c r="G91" s="25" t="str">
        <f>Source!DG70</f>
        <v/>
      </c>
      <c r="H91" s="10">
        <f>Source!AV70</f>
        <v>1.0469999999999999</v>
      </c>
      <c r="I91" s="26">
        <f>ROUND((Source!AF70*Source!AV70)*Source!I70, 2)</f>
        <v>14.45</v>
      </c>
      <c r="J91" s="10">
        <f>IF(Source!BA70&lt;&gt; 0, Source!BA70, 1)</f>
        <v>28.67</v>
      </c>
      <c r="K91" s="26">
        <f>Source!S70</f>
        <v>414.36</v>
      </c>
      <c r="W91">
        <f>I91</f>
        <v>14.45</v>
      </c>
    </row>
    <row r="92" spans="1:27" ht="14.25" x14ac:dyDescent="0.2">
      <c r="A92" s="23"/>
      <c r="B92" s="23"/>
      <c r="C92" s="23" t="s">
        <v>362</v>
      </c>
      <c r="D92" s="24"/>
      <c r="E92" s="10"/>
      <c r="F92" s="26">
        <f>Source!AM70</f>
        <v>15.22</v>
      </c>
      <c r="G92" s="25" t="str">
        <f>Source!DE70</f>
        <v/>
      </c>
      <c r="H92" s="10">
        <f>Source!AV70</f>
        <v>1.0469999999999999</v>
      </c>
      <c r="I92" s="26">
        <f>ROUND((Source!AD70*Source!AV70)*Source!I70, 2)</f>
        <v>27.09</v>
      </c>
      <c r="J92" s="10">
        <f>IF(Source!BB70&lt;&gt; 0, Source!BB70, 1)</f>
        <v>12.9</v>
      </c>
      <c r="K92" s="26">
        <f>Source!Q70</f>
        <v>349.46</v>
      </c>
    </row>
    <row r="93" spans="1:27" ht="14.25" x14ac:dyDescent="0.2">
      <c r="A93" s="23"/>
      <c r="B93" s="23"/>
      <c r="C93" s="23" t="s">
        <v>363</v>
      </c>
      <c r="D93" s="24"/>
      <c r="E93" s="10"/>
      <c r="F93" s="26">
        <f>Source!AN70</f>
        <v>3.32</v>
      </c>
      <c r="G93" s="25" t="str">
        <f>Source!DF70</f>
        <v/>
      </c>
      <c r="H93" s="10">
        <f>Source!AV70</f>
        <v>1.0469999999999999</v>
      </c>
      <c r="I93" s="27">
        <f>ROUND((Source!AE70*Source!AV70)*Source!I70, 2)</f>
        <v>5.91</v>
      </c>
      <c r="J93" s="10">
        <f>IF(Source!BS70&lt;&gt; 0, Source!BS70, 1)</f>
        <v>28.67</v>
      </c>
      <c r="K93" s="27">
        <f>Source!R70</f>
        <v>169.42</v>
      </c>
      <c r="W93">
        <f>I93</f>
        <v>5.91</v>
      </c>
    </row>
    <row r="94" spans="1:27" ht="14.25" x14ac:dyDescent="0.2">
      <c r="A94" s="23"/>
      <c r="B94" s="23"/>
      <c r="C94" s="23" t="s">
        <v>375</v>
      </c>
      <c r="D94" s="24"/>
      <c r="E94" s="10"/>
      <c r="F94" s="26">
        <f>Source!AL70</f>
        <v>1.06</v>
      </c>
      <c r="G94" s="25" t="str">
        <f>Source!DD70</f>
        <v/>
      </c>
      <c r="H94" s="10">
        <f>Source!AW70</f>
        <v>1.0029999999999999</v>
      </c>
      <c r="I94" s="26">
        <f>ROUND((Source!AC70*Source!AW70)*Source!I70, 2)</f>
        <v>1.81</v>
      </c>
      <c r="J94" s="10">
        <f>IF(Source!BC70&lt;&gt; 0, Source!BC70, 1)</f>
        <v>6.01</v>
      </c>
      <c r="K94" s="26">
        <f>Source!P70</f>
        <v>10.86</v>
      </c>
    </row>
    <row r="95" spans="1:27" ht="28.5" x14ac:dyDescent="0.2">
      <c r="A95" s="23" t="s">
        <v>132</v>
      </c>
      <c r="B95" s="23" t="str">
        <f>Source!F71</f>
        <v>1.1-1-766</v>
      </c>
      <c r="C95" s="23" t="s">
        <v>134</v>
      </c>
      <c r="D95" s="24" t="str">
        <f>Source!H71</f>
        <v>м3</v>
      </c>
      <c r="E95" s="10">
        <f>Source!I71</f>
        <v>1.87</v>
      </c>
      <c r="F95" s="26">
        <f>Source!AK71</f>
        <v>104.99</v>
      </c>
      <c r="G95" s="32" t="s">
        <v>3</v>
      </c>
      <c r="H95" s="10">
        <f>Source!AW71</f>
        <v>1.0029999999999999</v>
      </c>
      <c r="I95" s="26">
        <f>ROUND((Source!AC71*Source!AW71)*Source!I71, 2)+ROUND((Source!AD71*Source!AV71)*Source!I71, 2)+ROUND((Source!AF71*Source!AV71)*Source!I71, 2)</f>
        <v>196.92</v>
      </c>
      <c r="J95" s="10">
        <f>IF(Source!BC71&lt;&gt; 0, Source!BC71, 1)</f>
        <v>6.88</v>
      </c>
      <c r="K95" s="26">
        <f>Source!O71</f>
        <v>1354.81</v>
      </c>
      <c r="Q95">
        <f>ROUND((Source!DN71/100)*ROUND((Source!AF71*Source!AV71)*Source!I71, 2), 2)</f>
        <v>0</v>
      </c>
      <c r="R95">
        <f>Source!X71</f>
        <v>0</v>
      </c>
      <c r="S95">
        <f>ROUND((Source!DO71/100)*ROUND((Source!AF71*Source!AV71)*Source!I71, 2), 2)</f>
        <v>0</v>
      </c>
      <c r="T95">
        <f>Source!Y71</f>
        <v>0</v>
      </c>
      <c r="U95">
        <f>ROUND((175/100)*ROUND((Source!AE71*Source!AV71)*Source!I71, 2), 2)</f>
        <v>0</v>
      </c>
      <c r="V95">
        <f>ROUND((160/100)*ROUND(Source!CS71*Source!I71, 2), 2)</f>
        <v>0</v>
      </c>
      <c r="X95">
        <f>IF(Source!BI71&lt;=1,I95, 0)</f>
        <v>196.92</v>
      </c>
      <c r="Y95">
        <f>IF(Source!BI71=2,I95, 0)</f>
        <v>0</v>
      </c>
      <c r="Z95">
        <f>IF(Source!BI71=3,I95, 0)</f>
        <v>0</v>
      </c>
      <c r="AA95">
        <f>IF(Source!BI71=4,I95, 0)</f>
        <v>0</v>
      </c>
    </row>
    <row r="96" spans="1:27" ht="14.25" x14ac:dyDescent="0.2">
      <c r="A96" s="23"/>
      <c r="B96" s="23"/>
      <c r="C96" s="23" t="s">
        <v>364</v>
      </c>
      <c r="D96" s="24" t="s">
        <v>365</v>
      </c>
      <c r="E96" s="10">
        <f>Source!DN70</f>
        <v>105</v>
      </c>
      <c r="F96" s="26"/>
      <c r="G96" s="25"/>
      <c r="H96" s="10"/>
      <c r="I96" s="26">
        <f>SUM(Q90:Q95)</f>
        <v>15.17</v>
      </c>
      <c r="J96" s="10">
        <f>Source!BZ70</f>
        <v>87</v>
      </c>
      <c r="K96" s="26">
        <f>SUM(R90:R95)</f>
        <v>360.49</v>
      </c>
    </row>
    <row r="97" spans="1:27" ht="14.25" x14ac:dyDescent="0.2">
      <c r="A97" s="23"/>
      <c r="B97" s="23"/>
      <c r="C97" s="23" t="s">
        <v>366</v>
      </c>
      <c r="D97" s="24" t="s">
        <v>365</v>
      </c>
      <c r="E97" s="10">
        <f>Source!DO70</f>
        <v>77</v>
      </c>
      <c r="F97" s="26"/>
      <c r="G97" s="25"/>
      <c r="H97" s="10"/>
      <c r="I97" s="26">
        <f>SUM(S90:S96)</f>
        <v>11.13</v>
      </c>
      <c r="J97" s="10">
        <f>Source!CA70</f>
        <v>41</v>
      </c>
      <c r="K97" s="26">
        <f>SUM(T90:T96)</f>
        <v>169.89</v>
      </c>
    </row>
    <row r="98" spans="1:27" ht="14.25" x14ac:dyDescent="0.2">
      <c r="A98" s="23"/>
      <c r="B98" s="23"/>
      <c r="C98" s="23" t="s">
        <v>367</v>
      </c>
      <c r="D98" s="24" t="s">
        <v>365</v>
      </c>
      <c r="E98" s="10">
        <f>175</f>
        <v>175</v>
      </c>
      <c r="F98" s="26"/>
      <c r="G98" s="25"/>
      <c r="H98" s="10"/>
      <c r="I98" s="26">
        <f>SUM(U90:U97)</f>
        <v>10.34</v>
      </c>
      <c r="J98" s="10">
        <f>160</f>
        <v>160</v>
      </c>
      <c r="K98" s="26">
        <f>SUM(V90:V97)</f>
        <v>271.07</v>
      </c>
    </row>
    <row r="99" spans="1:27" ht="14.25" x14ac:dyDescent="0.2">
      <c r="A99" s="23"/>
      <c r="B99" s="23"/>
      <c r="C99" s="23" t="s">
        <v>368</v>
      </c>
      <c r="D99" s="24" t="s">
        <v>369</v>
      </c>
      <c r="E99" s="10">
        <f>Source!AQ70</f>
        <v>0.78</v>
      </c>
      <c r="F99" s="26"/>
      <c r="G99" s="25" t="str">
        <f>Source!DI70</f>
        <v/>
      </c>
      <c r="H99" s="10">
        <f>Source!AV70</f>
        <v>1.0469999999999999</v>
      </c>
      <c r="I99" s="26">
        <f>Source!U70</f>
        <v>1.3883219999999998</v>
      </c>
      <c r="J99" s="10"/>
      <c r="K99" s="26"/>
    </row>
    <row r="100" spans="1:27" ht="15" x14ac:dyDescent="0.25">
      <c r="A100" s="29"/>
      <c r="B100" s="29"/>
      <c r="C100" s="29"/>
      <c r="D100" s="29"/>
      <c r="E100" s="29"/>
      <c r="F100" s="29"/>
      <c r="G100" s="29"/>
      <c r="H100" s="41">
        <f>I91+I92+I94+I96+I97+I98+SUM(I95:I95)</f>
        <v>276.90999999999997</v>
      </c>
      <c r="I100" s="41"/>
      <c r="J100" s="41">
        <f>K91+K92+K94+K96+K97+K98+SUM(K95:K95)</f>
        <v>2930.9399999999996</v>
      </c>
      <c r="K100" s="41"/>
      <c r="O100" s="28">
        <f>I91+I92+I94+I96+I97+I98+SUM(I95:I95)</f>
        <v>276.90999999999997</v>
      </c>
      <c r="P100" s="28">
        <f>K91+K92+K94+K96+K97+K98+SUM(K95:K95)</f>
        <v>2930.9399999999996</v>
      </c>
      <c r="X100">
        <f>IF(Source!BI70&lt;=1,I91+I92+I94+I96+I97+I98-0, 0)</f>
        <v>79.990000000000009</v>
      </c>
      <c r="Y100">
        <f>IF(Source!BI70=2,I91+I92+I94+I96+I97+I98-0, 0)</f>
        <v>0</v>
      </c>
      <c r="Z100">
        <f>IF(Source!BI70=3,I91+I92+I94+I96+I97+I98-0, 0)</f>
        <v>0</v>
      </c>
      <c r="AA100">
        <f>IF(Source!BI70=4,I91+I92+I94+I96+I97+I98,0)</f>
        <v>0</v>
      </c>
    </row>
    <row r="101" spans="1:27" ht="28.5" x14ac:dyDescent="0.2">
      <c r="A101" s="23">
        <v>8</v>
      </c>
      <c r="B101" s="23" t="str">
        <f>Source!F72</f>
        <v>3.8-1-2</v>
      </c>
      <c r="C101" s="23" t="s">
        <v>139</v>
      </c>
      <c r="D101" s="24" t="str">
        <f>Source!H72</f>
        <v>1 м3 основания</v>
      </c>
      <c r="E101" s="10">
        <f>Source!I72</f>
        <v>1.7</v>
      </c>
      <c r="F101" s="26"/>
      <c r="G101" s="25"/>
      <c r="H101" s="10"/>
      <c r="I101" s="26"/>
      <c r="J101" s="10"/>
      <c r="K101" s="26"/>
      <c r="Q101">
        <f>ROUND((Source!DN72/100)*ROUND((Source!AF72*Source!AV72)*Source!I72, 2), 2)</f>
        <v>16.54</v>
      </c>
      <c r="R101">
        <f>Source!X72</f>
        <v>392.9</v>
      </c>
      <c r="S101">
        <f>ROUND((Source!DO72/100)*ROUND((Source!AF72*Source!AV72)*Source!I72, 2), 2)</f>
        <v>12.13</v>
      </c>
      <c r="T101">
        <f>Source!Y72</f>
        <v>185.16</v>
      </c>
      <c r="U101">
        <f>ROUND((175/100)*ROUND((Source!AE72*Source!AV72)*Source!I72, 2), 2)</f>
        <v>11.11</v>
      </c>
      <c r="V101">
        <f>ROUND((160/100)*ROUND(Source!CS72*Source!I72, 2), 2)</f>
        <v>291.49</v>
      </c>
    </row>
    <row r="102" spans="1:27" ht="14.25" x14ac:dyDescent="0.2">
      <c r="A102" s="23"/>
      <c r="B102" s="23"/>
      <c r="C102" s="23" t="s">
        <v>361</v>
      </c>
      <c r="D102" s="24"/>
      <c r="E102" s="10"/>
      <c r="F102" s="26">
        <f>Source!AO72</f>
        <v>8.85</v>
      </c>
      <c r="G102" s="25" t="str">
        <f>Source!DG72</f>
        <v/>
      </c>
      <c r="H102" s="10">
        <f>Source!AV72</f>
        <v>1.0469999999999999</v>
      </c>
      <c r="I102" s="26">
        <f>ROUND((Source!AF72*Source!AV72)*Source!I72, 2)</f>
        <v>15.75</v>
      </c>
      <c r="J102" s="10">
        <f>IF(Source!BA72&lt;&gt; 0, Source!BA72, 1)</f>
        <v>28.67</v>
      </c>
      <c r="K102" s="26">
        <f>Source!S72</f>
        <v>451.61</v>
      </c>
      <c r="W102">
        <f>I102</f>
        <v>15.75</v>
      </c>
    </row>
    <row r="103" spans="1:27" ht="14.25" x14ac:dyDescent="0.2">
      <c r="A103" s="23"/>
      <c r="B103" s="23"/>
      <c r="C103" s="23" t="s">
        <v>362</v>
      </c>
      <c r="D103" s="24"/>
      <c r="E103" s="10"/>
      <c r="F103" s="26">
        <f>Source!AM72</f>
        <v>15.89</v>
      </c>
      <c r="G103" s="25" t="str">
        <f>Source!DE72</f>
        <v/>
      </c>
      <c r="H103" s="10">
        <f>Source!AV72</f>
        <v>1.0469999999999999</v>
      </c>
      <c r="I103" s="26">
        <f>ROUND((Source!AD72*Source!AV72)*Source!I72, 2)</f>
        <v>28.28</v>
      </c>
      <c r="J103" s="10">
        <f>IF(Source!BB72&lt;&gt; 0, Source!BB72, 1)</f>
        <v>13.03</v>
      </c>
      <c r="K103" s="26">
        <f>Source!Q72</f>
        <v>368.52</v>
      </c>
    </row>
    <row r="104" spans="1:27" ht="14.25" x14ac:dyDescent="0.2">
      <c r="A104" s="23"/>
      <c r="B104" s="23"/>
      <c r="C104" s="23" t="s">
        <v>363</v>
      </c>
      <c r="D104" s="24"/>
      <c r="E104" s="10"/>
      <c r="F104" s="26">
        <f>Source!AN72</f>
        <v>3.57</v>
      </c>
      <c r="G104" s="25" t="str">
        <f>Source!DF72</f>
        <v/>
      </c>
      <c r="H104" s="10">
        <f>Source!AV72</f>
        <v>1.0469999999999999</v>
      </c>
      <c r="I104" s="27">
        <f>ROUND((Source!AE72*Source!AV72)*Source!I72, 2)</f>
        <v>6.35</v>
      </c>
      <c r="J104" s="10">
        <f>IF(Source!BS72&lt;&gt; 0, Source!BS72, 1)</f>
        <v>28.67</v>
      </c>
      <c r="K104" s="27">
        <f>Source!R72</f>
        <v>182.18</v>
      </c>
      <c r="W104">
        <f>I104</f>
        <v>6.35</v>
      </c>
    </row>
    <row r="105" spans="1:27" ht="14.25" x14ac:dyDescent="0.2">
      <c r="A105" s="23"/>
      <c r="B105" s="23"/>
      <c r="C105" s="23" t="s">
        <v>375</v>
      </c>
      <c r="D105" s="24"/>
      <c r="E105" s="10"/>
      <c r="F105" s="26">
        <f>Source!AL72</f>
        <v>1.06</v>
      </c>
      <c r="G105" s="25" t="str">
        <f>Source!DD72</f>
        <v/>
      </c>
      <c r="H105" s="10">
        <f>Source!AW72</f>
        <v>1.0029999999999999</v>
      </c>
      <c r="I105" s="26">
        <f>ROUND((Source!AC72*Source!AW72)*Source!I72, 2)</f>
        <v>1.81</v>
      </c>
      <c r="J105" s="10">
        <f>IF(Source!BC72&lt;&gt; 0, Source!BC72, 1)</f>
        <v>6.01</v>
      </c>
      <c r="K105" s="26">
        <f>Source!P72</f>
        <v>10.86</v>
      </c>
    </row>
    <row r="106" spans="1:27" ht="14.25" x14ac:dyDescent="0.2">
      <c r="A106" s="23" t="s">
        <v>141</v>
      </c>
      <c r="B106" s="23" t="str">
        <f>Source!F73</f>
        <v>1.1-1-1513</v>
      </c>
      <c r="C106" s="23" t="s">
        <v>143</v>
      </c>
      <c r="D106" s="24" t="str">
        <f>Source!H73</f>
        <v>м3</v>
      </c>
      <c r="E106" s="10">
        <f>Source!I73</f>
        <v>1.9550000000000001</v>
      </c>
      <c r="F106" s="26">
        <f>Source!AK73</f>
        <v>194.02</v>
      </c>
      <c r="G106" s="32" t="s">
        <v>3</v>
      </c>
      <c r="H106" s="10">
        <f>Source!AW73</f>
        <v>1.0029999999999999</v>
      </c>
      <c r="I106" s="26">
        <f>ROUND((Source!AC73*Source!AW73)*Source!I73, 2)+ROUND((Source!AD73*Source!AV73)*Source!I73, 2)+ROUND((Source!AF73*Source!AV73)*Source!I73, 2)</f>
        <v>380.45</v>
      </c>
      <c r="J106" s="10">
        <f>IF(Source!BC73&lt;&gt; 0, Source!BC73, 1)</f>
        <v>15.45</v>
      </c>
      <c r="K106" s="26">
        <f>Source!O73</f>
        <v>5877.91</v>
      </c>
      <c r="Q106">
        <f>ROUND((Source!DN73/100)*ROUND((Source!AF73*Source!AV73)*Source!I73, 2), 2)</f>
        <v>0</v>
      </c>
      <c r="R106">
        <f>Source!X73</f>
        <v>0</v>
      </c>
      <c r="S106">
        <f>ROUND((Source!DO73/100)*ROUND((Source!AF73*Source!AV73)*Source!I73, 2), 2)</f>
        <v>0</v>
      </c>
      <c r="T106">
        <f>Source!Y73</f>
        <v>0</v>
      </c>
      <c r="U106">
        <f>ROUND((175/100)*ROUND((Source!AE73*Source!AV73)*Source!I73, 2), 2)</f>
        <v>0</v>
      </c>
      <c r="V106">
        <f>ROUND((160/100)*ROUND(Source!CS73*Source!I73, 2), 2)</f>
        <v>0</v>
      </c>
      <c r="X106">
        <f>IF(Source!BI73&lt;=1,I106, 0)</f>
        <v>380.45</v>
      </c>
      <c r="Y106">
        <f>IF(Source!BI73=2,I106, 0)</f>
        <v>0</v>
      </c>
      <c r="Z106">
        <f>IF(Source!BI73=3,I106, 0)</f>
        <v>0</v>
      </c>
      <c r="AA106">
        <f>IF(Source!BI73=4,I106, 0)</f>
        <v>0</v>
      </c>
    </row>
    <row r="107" spans="1:27" ht="14.25" x14ac:dyDescent="0.2">
      <c r="A107" s="23"/>
      <c r="B107" s="23"/>
      <c r="C107" s="23" t="s">
        <v>364</v>
      </c>
      <c r="D107" s="24" t="s">
        <v>365</v>
      </c>
      <c r="E107" s="10">
        <f>Source!DN72</f>
        <v>105</v>
      </c>
      <c r="F107" s="26"/>
      <c r="G107" s="25"/>
      <c r="H107" s="10"/>
      <c r="I107" s="26">
        <f>SUM(Q101:Q106)</f>
        <v>16.54</v>
      </c>
      <c r="J107" s="10">
        <f>Source!BZ72</f>
        <v>87</v>
      </c>
      <c r="K107" s="26">
        <f>SUM(R101:R106)</f>
        <v>392.9</v>
      </c>
    </row>
    <row r="108" spans="1:27" ht="14.25" x14ac:dyDescent="0.2">
      <c r="A108" s="23"/>
      <c r="B108" s="23"/>
      <c r="C108" s="23" t="s">
        <v>366</v>
      </c>
      <c r="D108" s="24" t="s">
        <v>365</v>
      </c>
      <c r="E108" s="10">
        <f>Source!DO72</f>
        <v>77</v>
      </c>
      <c r="F108" s="26"/>
      <c r="G108" s="25"/>
      <c r="H108" s="10"/>
      <c r="I108" s="26">
        <f>SUM(S101:S107)</f>
        <v>12.13</v>
      </c>
      <c r="J108" s="10">
        <f>Source!CA72</f>
        <v>41</v>
      </c>
      <c r="K108" s="26">
        <f>SUM(T101:T107)</f>
        <v>185.16</v>
      </c>
    </row>
    <row r="109" spans="1:27" ht="14.25" x14ac:dyDescent="0.2">
      <c r="A109" s="23"/>
      <c r="B109" s="23"/>
      <c r="C109" s="23" t="s">
        <v>367</v>
      </c>
      <c r="D109" s="24" t="s">
        <v>365</v>
      </c>
      <c r="E109" s="10">
        <f>175</f>
        <v>175</v>
      </c>
      <c r="F109" s="26"/>
      <c r="G109" s="25"/>
      <c r="H109" s="10"/>
      <c r="I109" s="26">
        <f>SUM(U101:U108)</f>
        <v>11.11</v>
      </c>
      <c r="J109" s="10">
        <f>160</f>
        <v>160</v>
      </c>
      <c r="K109" s="26">
        <f>SUM(V101:V108)</f>
        <v>291.49</v>
      </c>
    </row>
    <row r="110" spans="1:27" ht="14.25" x14ac:dyDescent="0.2">
      <c r="A110" s="23"/>
      <c r="B110" s="23"/>
      <c r="C110" s="23" t="s">
        <v>368</v>
      </c>
      <c r="D110" s="24" t="s">
        <v>369</v>
      </c>
      <c r="E110" s="10">
        <f>Source!AQ72</f>
        <v>0.85</v>
      </c>
      <c r="F110" s="26"/>
      <c r="G110" s="25" t="str">
        <f>Source!DI72</f>
        <v/>
      </c>
      <c r="H110" s="10">
        <f>Source!AV72</f>
        <v>1.0469999999999999</v>
      </c>
      <c r="I110" s="26">
        <f>Source!U72</f>
        <v>1.5129149999999998</v>
      </c>
      <c r="J110" s="10"/>
      <c r="K110" s="26"/>
    </row>
    <row r="111" spans="1:27" ht="15" x14ac:dyDescent="0.25">
      <c r="A111" s="29"/>
      <c r="B111" s="29"/>
      <c r="C111" s="29"/>
      <c r="D111" s="29"/>
      <c r="E111" s="29"/>
      <c r="F111" s="29"/>
      <c r="G111" s="29"/>
      <c r="H111" s="41">
        <f>I102+I103+I105+I107+I108+I109+SUM(I106:I106)</f>
        <v>466.07</v>
      </c>
      <c r="I111" s="41"/>
      <c r="J111" s="41">
        <f>K102+K103+K105+K107+K108+K109+SUM(K106:K106)</f>
        <v>7578.45</v>
      </c>
      <c r="K111" s="41"/>
      <c r="O111" s="28">
        <f>I102+I103+I105+I107+I108+I109+SUM(I106:I106)</f>
        <v>466.07</v>
      </c>
      <c r="P111" s="28">
        <f>K102+K103+K105+K107+K108+K109+SUM(K106:K106)</f>
        <v>7578.45</v>
      </c>
      <c r="X111">
        <f>IF(Source!BI72&lt;=1,I102+I103+I105+I107+I108+I109-0, 0)</f>
        <v>85.62</v>
      </c>
      <c r="Y111">
        <f>IF(Source!BI72=2,I102+I103+I105+I107+I108+I109-0, 0)</f>
        <v>0</v>
      </c>
      <c r="Z111">
        <f>IF(Source!BI72=3,I102+I103+I105+I107+I108+I109-0, 0)</f>
        <v>0</v>
      </c>
      <c r="AA111">
        <f>IF(Source!BI72=4,I102+I103+I105+I107+I108+I109,0)</f>
        <v>0</v>
      </c>
    </row>
    <row r="112" spans="1:27" ht="42.75" x14ac:dyDescent="0.2">
      <c r="A112" s="23">
        <v>9</v>
      </c>
      <c r="B112" s="23" t="str">
        <f>Source!F74</f>
        <v>3.7-1-2</v>
      </c>
      <c r="C112" s="23" t="s">
        <v>146</v>
      </c>
      <c r="D112" s="24" t="str">
        <f>Source!H74</f>
        <v>100 шт.</v>
      </c>
      <c r="E112" s="10">
        <f>Source!I74</f>
        <v>7.0000000000000007E-2</v>
      </c>
      <c r="F112" s="26"/>
      <c r="G112" s="25"/>
      <c r="H112" s="10"/>
      <c r="I112" s="26"/>
      <c r="J112" s="10"/>
      <c r="K112" s="26"/>
      <c r="Q112">
        <f>ROUND((Source!DN74/100)*ROUND((Source!AF74*Source!AV74)*Source!I74, 2), 2)</f>
        <v>115.88</v>
      </c>
      <c r="R112">
        <f>Source!X74</f>
        <v>2653.64</v>
      </c>
      <c r="S112">
        <f>ROUND((Source!DO74/100)*ROUND((Source!AF74*Source!AV74)*Source!I74, 2), 2)</f>
        <v>86.73</v>
      </c>
      <c r="T112">
        <f>Source!Y74</f>
        <v>1191</v>
      </c>
      <c r="U112">
        <f>ROUND((175/100)*ROUND((Source!AE74*Source!AV74)*Source!I74, 2), 2)</f>
        <v>11.69</v>
      </c>
      <c r="V112">
        <f>ROUND((160/100)*ROUND(Source!CS74*Source!I74, 2), 2)</f>
        <v>306.52999999999997</v>
      </c>
    </row>
    <row r="113" spans="1:27" ht="14.25" x14ac:dyDescent="0.2">
      <c r="A113" s="23"/>
      <c r="B113" s="23"/>
      <c r="C113" s="23" t="s">
        <v>361</v>
      </c>
      <c r="D113" s="24"/>
      <c r="E113" s="10"/>
      <c r="F113" s="26">
        <f>Source!AO74</f>
        <v>957.82</v>
      </c>
      <c r="G113" s="25" t="str">
        <f>Source!DG74</f>
        <v/>
      </c>
      <c r="H113" s="10">
        <f>Source!AV74</f>
        <v>1.087</v>
      </c>
      <c r="I113" s="26">
        <f>ROUND((Source!AF74*Source!AV74)*Source!I74, 2)</f>
        <v>72.88</v>
      </c>
      <c r="J113" s="10">
        <f>IF(Source!BA74&lt;&gt; 0, Source!BA74, 1)</f>
        <v>28.67</v>
      </c>
      <c r="K113" s="26">
        <f>Source!S74</f>
        <v>2089.48</v>
      </c>
      <c r="W113">
        <f>I113</f>
        <v>72.88</v>
      </c>
    </row>
    <row r="114" spans="1:27" ht="14.25" x14ac:dyDescent="0.2">
      <c r="A114" s="23"/>
      <c r="B114" s="23"/>
      <c r="C114" s="23" t="s">
        <v>362</v>
      </c>
      <c r="D114" s="24"/>
      <c r="E114" s="10"/>
      <c r="F114" s="26">
        <f>Source!AM74</f>
        <v>657.82</v>
      </c>
      <c r="G114" s="25" t="str">
        <f>Source!DE74</f>
        <v/>
      </c>
      <c r="H114" s="10">
        <f>Source!AV74</f>
        <v>1.087</v>
      </c>
      <c r="I114" s="26">
        <f>ROUND((Source!AD74*Source!AV74)*Source!I74, 2)</f>
        <v>50.05</v>
      </c>
      <c r="J114" s="10">
        <f>IF(Source!BB74&lt;&gt; 0, Source!BB74, 1)</f>
        <v>10.36</v>
      </c>
      <c r="K114" s="26">
        <f>Source!Q74</f>
        <v>518.54999999999995</v>
      </c>
    </row>
    <row r="115" spans="1:27" ht="14.25" x14ac:dyDescent="0.2">
      <c r="A115" s="23"/>
      <c r="B115" s="23"/>
      <c r="C115" s="23" t="s">
        <v>363</v>
      </c>
      <c r="D115" s="24"/>
      <c r="E115" s="10"/>
      <c r="F115" s="26">
        <f>Source!AN74</f>
        <v>87.82</v>
      </c>
      <c r="G115" s="25" t="str">
        <f>Source!DF74</f>
        <v/>
      </c>
      <c r="H115" s="10">
        <f>Source!AV74</f>
        <v>1.087</v>
      </c>
      <c r="I115" s="27">
        <f>ROUND((Source!AE74*Source!AV74)*Source!I74, 2)</f>
        <v>6.68</v>
      </c>
      <c r="J115" s="10">
        <f>IF(Source!BS74&lt;&gt; 0, Source!BS74, 1)</f>
        <v>28.67</v>
      </c>
      <c r="K115" s="27">
        <f>Source!R74</f>
        <v>191.58</v>
      </c>
      <c r="W115">
        <f>I115</f>
        <v>6.68</v>
      </c>
    </row>
    <row r="116" spans="1:27" ht="42.75" x14ac:dyDescent="0.2">
      <c r="A116" s="23" t="s">
        <v>147</v>
      </c>
      <c r="B116" s="23" t="str">
        <f>Source!F75</f>
        <v>1.5-1-199</v>
      </c>
      <c r="C116" s="23" t="s">
        <v>149</v>
      </c>
      <c r="D116" s="24" t="str">
        <f>Source!H75</f>
        <v>м3</v>
      </c>
      <c r="E116" s="10">
        <f>Source!I75</f>
        <v>2.5920000000000001</v>
      </c>
      <c r="F116" s="26">
        <f>Source!AK75</f>
        <v>683.71</v>
      </c>
      <c r="G116" s="32" t="s">
        <v>3</v>
      </c>
      <c r="H116" s="10">
        <f>Source!AW75</f>
        <v>1.0029999999999999</v>
      </c>
      <c r="I116" s="26">
        <f>ROUND((Source!AC75*Source!AW75)*Source!I75, 2)+ROUND((Source!AD75*Source!AV75)*Source!I75, 2)+ROUND((Source!AF75*Source!AV75)*Source!I75, 2)</f>
        <v>1777.49</v>
      </c>
      <c r="J116" s="10">
        <f>IF(Source!BC75&lt;&gt; 0, Source!BC75, 1)</f>
        <v>14.78</v>
      </c>
      <c r="K116" s="26">
        <f>Source!O75</f>
        <v>26271.34</v>
      </c>
      <c r="Q116">
        <f>ROUND((Source!DN75/100)*ROUND((Source!AF75*Source!AV75)*Source!I75, 2), 2)</f>
        <v>0</v>
      </c>
      <c r="R116">
        <f>Source!X75</f>
        <v>0</v>
      </c>
      <c r="S116">
        <f>ROUND((Source!DO75/100)*ROUND((Source!AF75*Source!AV75)*Source!I75, 2), 2)</f>
        <v>0</v>
      </c>
      <c r="T116">
        <f>Source!Y75</f>
        <v>0</v>
      </c>
      <c r="U116">
        <f>ROUND((175/100)*ROUND((Source!AE75*Source!AV75)*Source!I75, 2), 2)</f>
        <v>0</v>
      </c>
      <c r="V116">
        <f>ROUND((160/100)*ROUND(Source!CS75*Source!I75, 2), 2)</f>
        <v>0</v>
      </c>
      <c r="X116">
        <f>IF(Source!BI75&lt;=1,I116, 0)</f>
        <v>1777.49</v>
      </c>
      <c r="Y116">
        <f>IF(Source!BI75=2,I116, 0)</f>
        <v>0</v>
      </c>
      <c r="Z116">
        <f>IF(Source!BI75=3,I116, 0)</f>
        <v>0</v>
      </c>
      <c r="AA116">
        <f>IF(Source!BI75=4,I116, 0)</f>
        <v>0</v>
      </c>
    </row>
    <row r="117" spans="1:27" ht="14.25" x14ac:dyDescent="0.2">
      <c r="A117" s="23"/>
      <c r="B117" s="23"/>
      <c r="C117" s="23" t="s">
        <v>364</v>
      </c>
      <c r="D117" s="24" t="s">
        <v>365</v>
      </c>
      <c r="E117" s="10">
        <f>Source!DN74</f>
        <v>159</v>
      </c>
      <c r="F117" s="26"/>
      <c r="G117" s="25"/>
      <c r="H117" s="10"/>
      <c r="I117" s="26">
        <f>SUM(Q112:Q116)</f>
        <v>115.88</v>
      </c>
      <c r="J117" s="10">
        <f>Source!BZ74</f>
        <v>127</v>
      </c>
      <c r="K117" s="26">
        <f>SUM(R112:R116)</f>
        <v>2653.64</v>
      </c>
    </row>
    <row r="118" spans="1:27" ht="14.25" x14ac:dyDescent="0.2">
      <c r="A118" s="23"/>
      <c r="B118" s="23"/>
      <c r="C118" s="23" t="s">
        <v>366</v>
      </c>
      <c r="D118" s="24" t="s">
        <v>365</v>
      </c>
      <c r="E118" s="10">
        <f>Source!DO74</f>
        <v>119</v>
      </c>
      <c r="F118" s="26"/>
      <c r="G118" s="25"/>
      <c r="H118" s="10"/>
      <c r="I118" s="26">
        <f>SUM(S112:S117)</f>
        <v>86.73</v>
      </c>
      <c r="J118" s="10">
        <f>Source!CA74</f>
        <v>57</v>
      </c>
      <c r="K118" s="26">
        <f>SUM(T112:T117)</f>
        <v>1191</v>
      </c>
    </row>
    <row r="119" spans="1:27" ht="14.25" x14ac:dyDescent="0.2">
      <c r="A119" s="23"/>
      <c r="B119" s="23"/>
      <c r="C119" s="23" t="s">
        <v>367</v>
      </c>
      <c r="D119" s="24" t="s">
        <v>365</v>
      </c>
      <c r="E119" s="10">
        <f>175</f>
        <v>175</v>
      </c>
      <c r="F119" s="26"/>
      <c r="G119" s="25"/>
      <c r="H119" s="10"/>
      <c r="I119" s="26">
        <f>SUM(U112:U118)</f>
        <v>11.69</v>
      </c>
      <c r="J119" s="10">
        <f>160</f>
        <v>160</v>
      </c>
      <c r="K119" s="26">
        <f>SUM(V112:V118)</f>
        <v>306.52999999999997</v>
      </c>
    </row>
    <row r="120" spans="1:27" ht="14.25" x14ac:dyDescent="0.2">
      <c r="A120" s="23"/>
      <c r="B120" s="23"/>
      <c r="C120" s="23" t="s">
        <v>368</v>
      </c>
      <c r="D120" s="24" t="s">
        <v>369</v>
      </c>
      <c r="E120" s="10">
        <f>Source!AQ74</f>
        <v>82.5</v>
      </c>
      <c r="F120" s="26"/>
      <c r="G120" s="25" t="str">
        <f>Source!DI74</f>
        <v/>
      </c>
      <c r="H120" s="10">
        <f>Source!AV74</f>
        <v>1.087</v>
      </c>
      <c r="I120" s="26">
        <f>Source!U74</f>
        <v>6.277425</v>
      </c>
      <c r="J120" s="10"/>
      <c r="K120" s="26"/>
    </row>
    <row r="121" spans="1:27" ht="15" x14ac:dyDescent="0.25">
      <c r="A121" s="29"/>
      <c r="B121" s="29"/>
      <c r="C121" s="29"/>
      <c r="D121" s="29"/>
      <c r="E121" s="29"/>
      <c r="F121" s="29"/>
      <c r="G121" s="29"/>
      <c r="H121" s="41">
        <f>I113+I114+I117+I118+I119+SUM(I116:I116)</f>
        <v>2114.7200000000003</v>
      </c>
      <c r="I121" s="41"/>
      <c r="J121" s="41">
        <f>K113+K114+K117+K118+K119+SUM(K116:K116)</f>
        <v>33030.54</v>
      </c>
      <c r="K121" s="41"/>
      <c r="O121" s="28">
        <f>I113+I114+I117+I118+I119+SUM(I116:I116)</f>
        <v>2114.7200000000003</v>
      </c>
      <c r="P121" s="28">
        <f>K113+K114+K117+K118+K119+SUM(K116:K116)</f>
        <v>33030.54</v>
      </c>
      <c r="X121">
        <f>IF(Source!BI74&lt;=1,I113+I114+I117+I118+I119-0, 0)</f>
        <v>337.23</v>
      </c>
      <c r="Y121">
        <f>IF(Source!BI74=2,I113+I114+I117+I118+I119-0, 0)</f>
        <v>0</v>
      </c>
      <c r="Z121">
        <f>IF(Source!BI74=3,I113+I114+I117+I118+I119-0, 0)</f>
        <v>0</v>
      </c>
      <c r="AA121">
        <f>IF(Source!BI74=4,I113+I114+I117+I118+I119,0)</f>
        <v>0</v>
      </c>
    </row>
    <row r="122" spans="1:27" ht="57" x14ac:dyDescent="0.2">
      <c r="A122" s="23">
        <v>10</v>
      </c>
      <c r="B122" s="23" t="str">
        <f>Source!F76</f>
        <v>3.7-56-3</v>
      </c>
      <c r="C122" s="23" t="s">
        <v>152</v>
      </c>
      <c r="D122" s="24" t="str">
        <f>Source!H76</f>
        <v>1 т стальных элементов</v>
      </c>
      <c r="E122" s="10">
        <f>Source!I76</f>
        <v>6.5000000000000002E-2</v>
      </c>
      <c r="F122" s="26"/>
      <c r="G122" s="25"/>
      <c r="H122" s="10"/>
      <c r="I122" s="26"/>
      <c r="J122" s="10"/>
      <c r="K122" s="26"/>
      <c r="Q122">
        <f>ROUND((Source!DN76/100)*ROUND((Source!AF76*Source!AV76)*Source!I76, 2), 2)</f>
        <v>40.86</v>
      </c>
      <c r="R122">
        <f>Source!X76</f>
        <v>970.54</v>
      </c>
      <c r="S122">
        <f>ROUND((Source!DO76/100)*ROUND((Source!AF76*Source!AV76)*Source!I76, 2), 2)</f>
        <v>29.96</v>
      </c>
      <c r="T122">
        <f>Source!Y76</f>
        <v>457.38</v>
      </c>
      <c r="U122">
        <f>ROUND((175/100)*ROUND((Source!AE76*Source!AV76)*Source!I76, 2), 2)</f>
        <v>1.61</v>
      </c>
      <c r="V122">
        <f>ROUND((160/100)*ROUND(Source!CS76*Source!I76, 2), 2)</f>
        <v>42.14</v>
      </c>
    </row>
    <row r="123" spans="1:27" x14ac:dyDescent="0.2">
      <c r="C123" s="30" t="str">
        <f>"Объем: "&amp;Source!I76&amp;"=13,48*"&amp;"4,81/"&amp;"1000"</f>
        <v>Объем: 0,065=13,48*4,81/1000</v>
      </c>
    </row>
    <row r="124" spans="1:27" ht="14.25" x14ac:dyDescent="0.2">
      <c r="A124" s="23"/>
      <c r="B124" s="23"/>
      <c r="C124" s="23" t="s">
        <v>361</v>
      </c>
      <c r="D124" s="24"/>
      <c r="E124" s="10"/>
      <c r="F124" s="26">
        <f>Source!AO76</f>
        <v>571.75</v>
      </c>
      <c r="G124" s="25" t="str">
        <f>Source!DG76</f>
        <v/>
      </c>
      <c r="H124" s="10">
        <f>Source!AV76</f>
        <v>1.0469999999999999</v>
      </c>
      <c r="I124" s="26">
        <f>ROUND((Source!AF76*Source!AV76)*Source!I76, 2)</f>
        <v>38.909999999999997</v>
      </c>
      <c r="J124" s="10">
        <f>IF(Source!BA76&lt;&gt; 0, Source!BA76, 1)</f>
        <v>28.67</v>
      </c>
      <c r="K124" s="26">
        <f>Source!S76</f>
        <v>1115.56</v>
      </c>
      <c r="W124">
        <f>I124</f>
        <v>38.909999999999997</v>
      </c>
    </row>
    <row r="125" spans="1:27" ht="14.25" x14ac:dyDescent="0.2">
      <c r="A125" s="23"/>
      <c r="B125" s="23"/>
      <c r="C125" s="23" t="s">
        <v>362</v>
      </c>
      <c r="D125" s="24"/>
      <c r="E125" s="10"/>
      <c r="F125" s="26">
        <f>Source!AM76</f>
        <v>161.24</v>
      </c>
      <c r="G125" s="25" t="str">
        <f>Source!DE76</f>
        <v/>
      </c>
      <c r="H125" s="10">
        <f>Source!AV76</f>
        <v>1.0469999999999999</v>
      </c>
      <c r="I125" s="26">
        <f>ROUND((Source!AD76*Source!AV76)*Source!I76, 2)</f>
        <v>10.97</v>
      </c>
      <c r="J125" s="10">
        <f>IF(Source!BB76&lt;&gt; 0, Source!BB76, 1)</f>
        <v>10.83</v>
      </c>
      <c r="K125" s="26">
        <f>Source!Q76</f>
        <v>118.84</v>
      </c>
    </row>
    <row r="126" spans="1:27" ht="14.25" x14ac:dyDescent="0.2">
      <c r="A126" s="23"/>
      <c r="B126" s="23"/>
      <c r="C126" s="23" t="s">
        <v>363</v>
      </c>
      <c r="D126" s="24"/>
      <c r="E126" s="10"/>
      <c r="F126" s="26">
        <f>Source!AN76</f>
        <v>13.5</v>
      </c>
      <c r="G126" s="25" t="str">
        <f>Source!DF76</f>
        <v/>
      </c>
      <c r="H126" s="10">
        <f>Source!AV76</f>
        <v>1.0469999999999999</v>
      </c>
      <c r="I126" s="27">
        <f>ROUND((Source!AE76*Source!AV76)*Source!I76, 2)</f>
        <v>0.92</v>
      </c>
      <c r="J126" s="10">
        <f>IF(Source!BS76&lt;&gt; 0, Source!BS76, 1)</f>
        <v>28.67</v>
      </c>
      <c r="K126" s="27">
        <f>Source!R76</f>
        <v>26.34</v>
      </c>
      <c r="W126">
        <f>I126</f>
        <v>0.92</v>
      </c>
    </row>
    <row r="127" spans="1:27" ht="14.25" x14ac:dyDescent="0.2">
      <c r="A127" s="23"/>
      <c r="B127" s="23"/>
      <c r="C127" s="23" t="s">
        <v>375</v>
      </c>
      <c r="D127" s="24"/>
      <c r="E127" s="10"/>
      <c r="F127" s="26">
        <f>Source!AL76</f>
        <v>287.67</v>
      </c>
      <c r="G127" s="25" t="str">
        <f>Source!DD76</f>
        <v/>
      </c>
      <c r="H127" s="10">
        <f>Source!AW76</f>
        <v>1</v>
      </c>
      <c r="I127" s="26">
        <f>ROUND((Source!AC76*Source!AW76)*Source!I76, 2)</f>
        <v>18.7</v>
      </c>
      <c r="J127" s="10">
        <f>IF(Source!BC76&lt;&gt; 0, Source!BC76, 1)</f>
        <v>16.7</v>
      </c>
      <c r="K127" s="26">
        <f>Source!P76</f>
        <v>312.27</v>
      </c>
    </row>
    <row r="128" spans="1:27" ht="42.75" x14ac:dyDescent="0.2">
      <c r="A128" s="23" t="s">
        <v>153</v>
      </c>
      <c r="B128" s="23" t="str">
        <f>Source!F77</f>
        <v>1.1-1-1111</v>
      </c>
      <c r="C128" s="23" t="s">
        <v>155</v>
      </c>
      <c r="D128" s="24" t="str">
        <f>Source!H77</f>
        <v>т</v>
      </c>
      <c r="E128" s="10">
        <f>Source!I77</f>
        <v>6.5000000000000002E-2</v>
      </c>
      <c r="F128" s="26">
        <f>Source!AK77</f>
        <v>7879.13</v>
      </c>
      <c r="G128" s="32" t="s">
        <v>3</v>
      </c>
      <c r="H128" s="10">
        <f>Source!AW77</f>
        <v>1</v>
      </c>
      <c r="I128" s="26">
        <f>ROUND((Source!AC77*Source!AW77)*Source!I77, 2)+ROUND((Source!AD77*Source!AV77)*Source!I77, 2)+ROUND((Source!AF77*Source!AV77)*Source!I77, 2)</f>
        <v>512.14</v>
      </c>
      <c r="J128" s="10">
        <f>IF(Source!BC77&lt;&gt; 0, Source!BC77, 1)</f>
        <v>3.11</v>
      </c>
      <c r="K128" s="26">
        <f>Source!O77</f>
        <v>1592.77</v>
      </c>
      <c r="Q128">
        <f>ROUND((Source!DN77/100)*ROUND((Source!AF77*Source!AV77)*Source!I77, 2), 2)</f>
        <v>0</v>
      </c>
      <c r="R128">
        <f>Source!X77</f>
        <v>0</v>
      </c>
      <c r="S128">
        <f>ROUND((Source!DO77/100)*ROUND((Source!AF77*Source!AV77)*Source!I77, 2), 2)</f>
        <v>0</v>
      </c>
      <c r="T128">
        <f>Source!Y77</f>
        <v>0</v>
      </c>
      <c r="U128">
        <f>ROUND((175/100)*ROUND((Source!AE77*Source!AV77)*Source!I77, 2), 2)</f>
        <v>0</v>
      </c>
      <c r="V128">
        <f>ROUND((160/100)*ROUND(Source!CS77*Source!I77, 2), 2)</f>
        <v>0</v>
      </c>
      <c r="X128">
        <f>IF(Source!BI77&lt;=1,I128, 0)</f>
        <v>512.14</v>
      </c>
      <c r="Y128">
        <f>IF(Source!BI77=2,I128, 0)</f>
        <v>0</v>
      </c>
      <c r="Z128">
        <f>IF(Source!BI77=3,I128, 0)</f>
        <v>0</v>
      </c>
      <c r="AA128">
        <f>IF(Source!BI77=4,I128, 0)</f>
        <v>0</v>
      </c>
    </row>
    <row r="129" spans="1:27" ht="14.25" x14ac:dyDescent="0.2">
      <c r="A129" s="23"/>
      <c r="B129" s="23"/>
      <c r="C129" s="23" t="s">
        <v>364</v>
      </c>
      <c r="D129" s="24" t="s">
        <v>365</v>
      </c>
      <c r="E129" s="10">
        <f>Source!DN76</f>
        <v>105</v>
      </c>
      <c r="F129" s="26"/>
      <c r="G129" s="25"/>
      <c r="H129" s="10"/>
      <c r="I129" s="26">
        <f>SUM(Q122:Q128)</f>
        <v>40.86</v>
      </c>
      <c r="J129" s="10">
        <f>Source!BZ76</f>
        <v>87</v>
      </c>
      <c r="K129" s="26">
        <f>SUM(R122:R128)</f>
        <v>970.54</v>
      </c>
    </row>
    <row r="130" spans="1:27" ht="14.25" x14ac:dyDescent="0.2">
      <c r="A130" s="23"/>
      <c r="B130" s="23"/>
      <c r="C130" s="23" t="s">
        <v>366</v>
      </c>
      <c r="D130" s="24" t="s">
        <v>365</v>
      </c>
      <c r="E130" s="10">
        <f>Source!DO76</f>
        <v>77</v>
      </c>
      <c r="F130" s="26"/>
      <c r="G130" s="25"/>
      <c r="H130" s="10"/>
      <c r="I130" s="26">
        <f>SUM(S122:S129)</f>
        <v>29.96</v>
      </c>
      <c r="J130" s="10">
        <f>Source!CA76</f>
        <v>41</v>
      </c>
      <c r="K130" s="26">
        <f>SUM(T122:T129)</f>
        <v>457.38</v>
      </c>
    </row>
    <row r="131" spans="1:27" ht="14.25" x14ac:dyDescent="0.2">
      <c r="A131" s="23"/>
      <c r="B131" s="23"/>
      <c r="C131" s="23" t="s">
        <v>367</v>
      </c>
      <c r="D131" s="24" t="s">
        <v>365</v>
      </c>
      <c r="E131" s="10">
        <f>175</f>
        <v>175</v>
      </c>
      <c r="F131" s="26"/>
      <c r="G131" s="25"/>
      <c r="H131" s="10"/>
      <c r="I131" s="26">
        <f>SUM(U122:U130)</f>
        <v>1.61</v>
      </c>
      <c r="J131" s="10">
        <f>160</f>
        <v>160</v>
      </c>
      <c r="K131" s="26">
        <f>SUM(V122:V130)</f>
        <v>42.14</v>
      </c>
    </row>
    <row r="132" spans="1:27" ht="14.25" x14ac:dyDescent="0.2">
      <c r="A132" s="23"/>
      <c r="B132" s="23"/>
      <c r="C132" s="23" t="s">
        <v>368</v>
      </c>
      <c r="D132" s="24" t="s">
        <v>369</v>
      </c>
      <c r="E132" s="10">
        <f>Source!AQ76</f>
        <v>42.7</v>
      </c>
      <c r="F132" s="26"/>
      <c r="G132" s="25" t="str">
        <f>Source!DI76</f>
        <v/>
      </c>
      <c r="H132" s="10">
        <f>Source!AV76</f>
        <v>1.0469999999999999</v>
      </c>
      <c r="I132" s="26">
        <f>Source!U76</f>
        <v>2.9059485</v>
      </c>
      <c r="J132" s="10"/>
      <c r="K132" s="26"/>
    </row>
    <row r="133" spans="1:27" ht="15" x14ac:dyDescent="0.25">
      <c r="A133" s="29"/>
      <c r="B133" s="29"/>
      <c r="C133" s="29"/>
      <c r="D133" s="29"/>
      <c r="E133" s="29"/>
      <c r="F133" s="29"/>
      <c r="G133" s="29"/>
      <c r="H133" s="41">
        <f>I124+I125+I127+I129+I130+I131+SUM(I128:I128)</f>
        <v>653.15</v>
      </c>
      <c r="I133" s="41"/>
      <c r="J133" s="41">
        <f>K124+K125+K127+K129+K130+K131+SUM(K128:K128)</f>
        <v>4609.5</v>
      </c>
      <c r="K133" s="41"/>
      <c r="O133" s="28">
        <f>I124+I125+I127+I129+I130+I131+SUM(I128:I128)</f>
        <v>653.15</v>
      </c>
      <c r="P133" s="28">
        <f>K124+K125+K127+K129+K130+K131+SUM(K128:K128)</f>
        <v>4609.5</v>
      </c>
      <c r="X133">
        <f>IF(Source!BI76&lt;=1,I124+I125+I127+I129+I130+I131-0, 0)</f>
        <v>141.01000000000002</v>
      </c>
      <c r="Y133">
        <f>IF(Source!BI76=2,I124+I125+I127+I129+I130+I131-0, 0)</f>
        <v>0</v>
      </c>
      <c r="Z133">
        <f>IF(Source!BI76=3,I124+I125+I127+I129+I130+I131-0, 0)</f>
        <v>0</v>
      </c>
      <c r="AA133">
        <f>IF(Source!BI76=4,I124+I125+I127+I129+I130+I131,0)</f>
        <v>0</v>
      </c>
    </row>
    <row r="134" spans="1:27" ht="42.75" x14ac:dyDescent="0.2">
      <c r="A134" s="23">
        <v>11</v>
      </c>
      <c r="B134" s="23" t="str">
        <f>Source!F78</f>
        <v>3.29-1438-1</v>
      </c>
      <c r="C134" s="23" t="s">
        <v>159</v>
      </c>
      <c r="D134" s="24" t="str">
        <f>Source!H78</f>
        <v>100 м2 поверхности</v>
      </c>
      <c r="E134" s="10">
        <f>Source!I78</f>
        <v>0.1852</v>
      </c>
      <c r="F134" s="26"/>
      <c r="G134" s="25"/>
      <c r="H134" s="10"/>
      <c r="I134" s="26"/>
      <c r="J134" s="10"/>
      <c r="K134" s="26"/>
      <c r="Q134">
        <f>ROUND((Source!DN78/100)*ROUND((Source!AF78*Source!AV78)*Source!I78, 2), 2)</f>
        <v>32.119999999999997</v>
      </c>
      <c r="R134">
        <f>Source!X78</f>
        <v>878.56</v>
      </c>
      <c r="S134">
        <f>ROUND((Source!DO78/100)*ROUND((Source!AF78*Source!AV78)*Source!I78, 2), 2)</f>
        <v>32.86</v>
      </c>
      <c r="T134">
        <f>Source!Y78</f>
        <v>365.48</v>
      </c>
      <c r="U134">
        <f>ROUND((175/100)*ROUND((Source!AE78*Source!AV78)*Source!I78, 2), 2)</f>
        <v>0.02</v>
      </c>
      <c r="V134">
        <f>ROUND((160/100)*ROUND(Source!CS78*Source!I78, 2), 2)</f>
        <v>0.34</v>
      </c>
    </row>
    <row r="135" spans="1:27" ht="14.25" x14ac:dyDescent="0.2">
      <c r="A135" s="23"/>
      <c r="B135" s="23"/>
      <c r="C135" s="23" t="s">
        <v>361</v>
      </c>
      <c r="D135" s="24"/>
      <c r="E135" s="10"/>
      <c r="F135" s="26">
        <f>Source!AO78</f>
        <v>131.06</v>
      </c>
      <c r="G135" s="25" t="str">
        <f>Source!DG78</f>
        <v/>
      </c>
      <c r="H135" s="10">
        <f>Source!AV78</f>
        <v>1.01</v>
      </c>
      <c r="I135" s="26">
        <f>ROUND((Source!AF78*Source!AV78)*Source!I78, 2)</f>
        <v>24.52</v>
      </c>
      <c r="J135" s="10">
        <f>IF(Source!BA78&lt;&gt; 0, Source!BA78, 1)</f>
        <v>28.67</v>
      </c>
      <c r="K135" s="26">
        <f>Source!S78</f>
        <v>702.85</v>
      </c>
      <c r="W135">
        <f>I135</f>
        <v>24.52</v>
      </c>
    </row>
    <row r="136" spans="1:27" ht="14.25" x14ac:dyDescent="0.2">
      <c r="A136" s="23"/>
      <c r="B136" s="23"/>
      <c r="C136" s="23" t="s">
        <v>362</v>
      </c>
      <c r="D136" s="24"/>
      <c r="E136" s="10"/>
      <c r="F136" s="26">
        <f>Source!AM78</f>
        <v>27.77</v>
      </c>
      <c r="G136" s="25" t="str">
        <f>Source!DE78</f>
        <v/>
      </c>
      <c r="H136" s="10">
        <f>Source!AV78</f>
        <v>1.01</v>
      </c>
      <c r="I136" s="26">
        <f>ROUND((Source!AD78*Source!AV78)*Source!I78, 2)</f>
        <v>5.19</v>
      </c>
      <c r="J136" s="10">
        <f>IF(Source!BB78&lt;&gt; 0, Source!BB78, 1)</f>
        <v>9.74</v>
      </c>
      <c r="K136" s="26">
        <f>Source!Q78</f>
        <v>50.59</v>
      </c>
    </row>
    <row r="137" spans="1:27" ht="14.25" x14ac:dyDescent="0.2">
      <c r="A137" s="23"/>
      <c r="B137" s="23"/>
      <c r="C137" s="23" t="s">
        <v>363</v>
      </c>
      <c r="D137" s="24"/>
      <c r="E137" s="10"/>
      <c r="F137" s="26">
        <f>Source!AN78</f>
        <v>0.04</v>
      </c>
      <c r="G137" s="25" t="str">
        <f>Source!DF78</f>
        <v/>
      </c>
      <c r="H137" s="10">
        <f>Source!AV78</f>
        <v>1.01</v>
      </c>
      <c r="I137" s="27">
        <f>ROUND((Source!AE78*Source!AV78)*Source!I78, 2)</f>
        <v>0.01</v>
      </c>
      <c r="J137" s="10">
        <f>IF(Source!BS78&lt;&gt; 0, Source!BS78, 1)</f>
        <v>28.67</v>
      </c>
      <c r="K137" s="27">
        <f>Source!R78</f>
        <v>0.21</v>
      </c>
      <c r="W137">
        <f>I137</f>
        <v>0.01</v>
      </c>
    </row>
    <row r="138" spans="1:27" ht="14.25" x14ac:dyDescent="0.2">
      <c r="A138" s="23"/>
      <c r="B138" s="23"/>
      <c r="C138" s="23" t="s">
        <v>375</v>
      </c>
      <c r="D138" s="24"/>
      <c r="E138" s="10"/>
      <c r="F138" s="26">
        <f>Source!AL78</f>
        <v>655.20000000000005</v>
      </c>
      <c r="G138" s="25" t="str">
        <f>Source!DD78</f>
        <v/>
      </c>
      <c r="H138" s="10">
        <f>Source!AW78</f>
        <v>1.01</v>
      </c>
      <c r="I138" s="26">
        <f>ROUND((Source!AC78*Source!AW78)*Source!I78, 2)</f>
        <v>122.56</v>
      </c>
      <c r="J138" s="10">
        <f>IF(Source!BC78&lt;&gt; 0, Source!BC78, 1)</f>
        <v>4.7699999999999996</v>
      </c>
      <c r="K138" s="26">
        <f>Source!P78</f>
        <v>584.59</v>
      </c>
    </row>
    <row r="139" spans="1:27" ht="14.25" x14ac:dyDescent="0.2">
      <c r="A139" s="23"/>
      <c r="B139" s="23"/>
      <c r="C139" s="23" t="s">
        <v>364</v>
      </c>
      <c r="D139" s="24" t="s">
        <v>365</v>
      </c>
      <c r="E139" s="10">
        <f>Source!DN78</f>
        <v>131</v>
      </c>
      <c r="F139" s="26"/>
      <c r="G139" s="25"/>
      <c r="H139" s="10"/>
      <c r="I139" s="26">
        <f>SUM(Q134:Q138)</f>
        <v>32.119999999999997</v>
      </c>
      <c r="J139" s="10">
        <f>Source!BZ78</f>
        <v>125</v>
      </c>
      <c r="K139" s="26">
        <f>SUM(R134:R138)</f>
        <v>878.56</v>
      </c>
    </row>
    <row r="140" spans="1:27" ht="14.25" x14ac:dyDescent="0.2">
      <c r="A140" s="23"/>
      <c r="B140" s="23"/>
      <c r="C140" s="23" t="s">
        <v>366</v>
      </c>
      <c r="D140" s="24" t="s">
        <v>365</v>
      </c>
      <c r="E140" s="10">
        <f>Source!DO78</f>
        <v>134</v>
      </c>
      <c r="F140" s="26"/>
      <c r="G140" s="25"/>
      <c r="H140" s="10"/>
      <c r="I140" s="26">
        <f>SUM(S134:S139)</f>
        <v>32.86</v>
      </c>
      <c r="J140" s="10">
        <f>Source!CA78</f>
        <v>52</v>
      </c>
      <c r="K140" s="26">
        <f>SUM(T134:T139)</f>
        <v>365.48</v>
      </c>
    </row>
    <row r="141" spans="1:27" ht="14.25" x14ac:dyDescent="0.2">
      <c r="A141" s="23"/>
      <c r="B141" s="23"/>
      <c r="C141" s="23" t="s">
        <v>367</v>
      </c>
      <c r="D141" s="24" t="s">
        <v>365</v>
      </c>
      <c r="E141" s="10">
        <f>175</f>
        <v>175</v>
      </c>
      <c r="F141" s="26"/>
      <c r="G141" s="25"/>
      <c r="H141" s="10"/>
      <c r="I141" s="26">
        <f>SUM(U134:U140)</f>
        <v>0.02</v>
      </c>
      <c r="J141" s="10">
        <f>160</f>
        <v>160</v>
      </c>
      <c r="K141" s="26">
        <f>SUM(V134:V140)</f>
        <v>0.34</v>
      </c>
    </row>
    <row r="142" spans="1:27" ht="14.25" x14ac:dyDescent="0.2">
      <c r="A142" s="23"/>
      <c r="B142" s="23"/>
      <c r="C142" s="23" t="s">
        <v>368</v>
      </c>
      <c r="D142" s="24" t="s">
        <v>369</v>
      </c>
      <c r="E142" s="10">
        <f>Source!AQ78</f>
        <v>7.02</v>
      </c>
      <c r="F142" s="26"/>
      <c r="G142" s="25" t="str">
        <f>Source!DI78</f>
        <v/>
      </c>
      <c r="H142" s="10">
        <f>Source!AV78</f>
        <v>1.01</v>
      </c>
      <c r="I142" s="26">
        <f>Source!U78</f>
        <v>1.3131050399999999</v>
      </c>
      <c r="J142" s="10"/>
      <c r="K142" s="26"/>
    </row>
    <row r="143" spans="1:27" ht="15" x14ac:dyDescent="0.25">
      <c r="A143" s="29"/>
      <c r="B143" s="29"/>
      <c r="C143" s="29"/>
      <c r="D143" s="29"/>
      <c r="E143" s="29"/>
      <c r="F143" s="29"/>
      <c r="G143" s="29"/>
      <c r="H143" s="41">
        <f>I135+I136+I138+I139+I140+I141</f>
        <v>217.27</v>
      </c>
      <c r="I143" s="41"/>
      <c r="J143" s="41">
        <f>K135+K136+K138+K139+K140+K141</f>
        <v>2582.4100000000003</v>
      </c>
      <c r="K143" s="41"/>
      <c r="O143" s="28">
        <f>I135+I136+I138+I139+I140+I141</f>
        <v>217.27</v>
      </c>
      <c r="P143" s="28">
        <f>K135+K136+K138+K139+K140+K141</f>
        <v>2582.4100000000003</v>
      </c>
      <c r="X143">
        <f>IF(Source!BI78&lt;=1,I135+I136+I138+I139+I140+I141-0, 0)</f>
        <v>217.27</v>
      </c>
      <c r="Y143">
        <f>IF(Source!BI78=2,I135+I136+I138+I139+I140+I141-0, 0)</f>
        <v>0</v>
      </c>
      <c r="Z143">
        <f>IF(Source!BI78=3,I135+I136+I138+I139+I140+I141-0, 0)</f>
        <v>0</v>
      </c>
      <c r="AA143">
        <f>IF(Source!BI78=4,I135+I136+I138+I139+I140+I141,0)</f>
        <v>0</v>
      </c>
    </row>
    <row r="144" spans="1:27" ht="14.25" x14ac:dyDescent="0.2">
      <c r="C144" s="31" t="str">
        <f>Source!G79</f>
        <v>Монтаж оборудования</v>
      </c>
    </row>
    <row r="145" spans="1:27" ht="42.75" x14ac:dyDescent="0.2">
      <c r="A145" s="23">
        <v>12</v>
      </c>
      <c r="B145" s="23" t="str">
        <f>Source!F80</f>
        <v>4.8-25-2</v>
      </c>
      <c r="C145" s="23" t="s">
        <v>166</v>
      </c>
      <c r="D145" s="24" t="str">
        <f>Source!H80</f>
        <v>1 подстанция</v>
      </c>
      <c r="E145" s="10">
        <f>Source!I80</f>
        <v>1</v>
      </c>
      <c r="F145" s="26"/>
      <c r="G145" s="25"/>
      <c r="H145" s="10"/>
      <c r="I145" s="26"/>
      <c r="J145" s="10"/>
      <c r="K145" s="26"/>
      <c r="Q145">
        <f>ROUND((Source!DN80/100)*ROUND((Source!AF80*Source!AV80)*Source!I80, 2), 2)</f>
        <v>585.37</v>
      </c>
      <c r="R145">
        <f>Source!X80</f>
        <v>13785.66</v>
      </c>
      <c r="S145">
        <f>ROUND((Source!DO80/100)*ROUND((Source!AF80*Source!AV80)*Source!I80, 2), 2)</f>
        <v>365.86</v>
      </c>
      <c r="T145">
        <f>Source!Y80</f>
        <v>6443.3</v>
      </c>
      <c r="U145">
        <f>ROUND((175/100)*ROUND((Source!AE80*Source!AV80)*Source!I80, 2), 2)</f>
        <v>86.17</v>
      </c>
      <c r="V145">
        <f>ROUND((160/100)*ROUND(Source!CS80*Source!I80, 2), 2)</f>
        <v>2258.7800000000002</v>
      </c>
    </row>
    <row r="146" spans="1:27" ht="14.25" x14ac:dyDescent="0.2">
      <c r="A146" s="23"/>
      <c r="B146" s="23"/>
      <c r="C146" s="23" t="s">
        <v>361</v>
      </c>
      <c r="D146" s="24"/>
      <c r="E146" s="10"/>
      <c r="F146" s="26">
        <f>Source!AO80</f>
        <v>480.82</v>
      </c>
      <c r="G146" s="25" t="str">
        <f>Source!DG80</f>
        <v/>
      </c>
      <c r="H146" s="10">
        <f>Source!AV80</f>
        <v>1.087</v>
      </c>
      <c r="I146" s="26">
        <f>ROUND((Source!AF80*Source!AV80)*Source!I80, 2)</f>
        <v>522.65</v>
      </c>
      <c r="J146" s="10">
        <f>IF(Source!BA80&lt;&gt; 0, Source!BA80, 1)</f>
        <v>28.67</v>
      </c>
      <c r="K146" s="26">
        <f>Source!S80</f>
        <v>14984.41</v>
      </c>
      <c r="W146">
        <f>I146</f>
        <v>522.65</v>
      </c>
    </row>
    <row r="147" spans="1:27" ht="14.25" x14ac:dyDescent="0.2">
      <c r="A147" s="23"/>
      <c r="B147" s="23"/>
      <c r="C147" s="23" t="s">
        <v>362</v>
      </c>
      <c r="D147" s="24"/>
      <c r="E147" s="10"/>
      <c r="F147" s="26">
        <f>Source!AM80</f>
        <v>259.08999999999997</v>
      </c>
      <c r="G147" s="25" t="str">
        <f>Source!DE80</f>
        <v/>
      </c>
      <c r="H147" s="10">
        <f>Source!AV80</f>
        <v>1.087</v>
      </c>
      <c r="I147" s="26">
        <f>ROUND((Source!AD80*Source!AV80)*Source!I80, 2)</f>
        <v>281.63</v>
      </c>
      <c r="J147" s="10">
        <f>IF(Source!BB80&lt;&gt; 0, Source!BB80, 1)</f>
        <v>11.18</v>
      </c>
      <c r="K147" s="26">
        <f>Source!Q80</f>
        <v>3148.63</v>
      </c>
    </row>
    <row r="148" spans="1:27" ht="14.25" x14ac:dyDescent="0.2">
      <c r="A148" s="23"/>
      <c r="B148" s="23"/>
      <c r="C148" s="23" t="s">
        <v>363</v>
      </c>
      <c r="D148" s="24"/>
      <c r="E148" s="10"/>
      <c r="F148" s="26">
        <f>Source!AN80</f>
        <v>45.3</v>
      </c>
      <c r="G148" s="25" t="str">
        <f>Source!DF80</f>
        <v/>
      </c>
      <c r="H148" s="10">
        <f>Source!AV80</f>
        <v>1.087</v>
      </c>
      <c r="I148" s="27">
        <f>ROUND((Source!AE80*Source!AV80)*Source!I80, 2)</f>
        <v>49.24</v>
      </c>
      <c r="J148" s="10">
        <f>IF(Source!BS80&lt;&gt; 0, Source!BS80, 1)</f>
        <v>28.67</v>
      </c>
      <c r="K148" s="27">
        <f>Source!R80</f>
        <v>1411.74</v>
      </c>
      <c r="W148">
        <f>I148</f>
        <v>49.24</v>
      </c>
    </row>
    <row r="149" spans="1:27" ht="14.25" x14ac:dyDescent="0.2">
      <c r="A149" s="23"/>
      <c r="B149" s="23"/>
      <c r="C149" s="23" t="s">
        <v>375</v>
      </c>
      <c r="D149" s="24"/>
      <c r="E149" s="10"/>
      <c r="F149" s="26">
        <f>Source!AL80</f>
        <v>107.8</v>
      </c>
      <c r="G149" s="25" t="str">
        <f>Source!DD80</f>
        <v/>
      </c>
      <c r="H149" s="10">
        <f>Source!AW80</f>
        <v>1</v>
      </c>
      <c r="I149" s="26">
        <f>ROUND((Source!AC80*Source!AW80)*Source!I80, 2)</f>
        <v>107.8</v>
      </c>
      <c r="J149" s="10">
        <f>IF(Source!BC80&lt;&gt; 0, Source!BC80, 1)</f>
        <v>8.24</v>
      </c>
      <c r="K149" s="26">
        <f>Source!P80</f>
        <v>888.27</v>
      </c>
    </row>
    <row r="150" spans="1:27" ht="14.25" x14ac:dyDescent="0.2">
      <c r="A150" s="23"/>
      <c r="B150" s="23"/>
      <c r="C150" s="23" t="s">
        <v>364</v>
      </c>
      <c r="D150" s="24" t="s">
        <v>365</v>
      </c>
      <c r="E150" s="10">
        <f>Source!DN80</f>
        <v>112</v>
      </c>
      <c r="F150" s="26"/>
      <c r="G150" s="25"/>
      <c r="H150" s="10"/>
      <c r="I150" s="26">
        <f>SUM(Q145:Q149)</f>
        <v>585.37</v>
      </c>
      <c r="J150" s="10">
        <f>Source!BZ80</f>
        <v>92</v>
      </c>
      <c r="K150" s="26">
        <f>SUM(R145:R149)</f>
        <v>13785.66</v>
      </c>
    </row>
    <row r="151" spans="1:27" ht="14.25" x14ac:dyDescent="0.2">
      <c r="A151" s="23"/>
      <c r="B151" s="23"/>
      <c r="C151" s="23" t="s">
        <v>366</v>
      </c>
      <c r="D151" s="24" t="s">
        <v>365</v>
      </c>
      <c r="E151" s="10">
        <f>Source!DO80</f>
        <v>70</v>
      </c>
      <c r="F151" s="26"/>
      <c r="G151" s="25"/>
      <c r="H151" s="10"/>
      <c r="I151" s="26">
        <f>SUM(S145:S150)</f>
        <v>365.86</v>
      </c>
      <c r="J151" s="10">
        <f>Source!CA80</f>
        <v>43</v>
      </c>
      <c r="K151" s="26">
        <f>SUM(T145:T150)</f>
        <v>6443.3</v>
      </c>
    </row>
    <row r="152" spans="1:27" ht="14.25" x14ac:dyDescent="0.2">
      <c r="A152" s="23"/>
      <c r="B152" s="23"/>
      <c r="C152" s="23" t="s">
        <v>367</v>
      </c>
      <c r="D152" s="24" t="s">
        <v>365</v>
      </c>
      <c r="E152" s="10">
        <f>175</f>
        <v>175</v>
      </c>
      <c r="F152" s="26"/>
      <c r="G152" s="25"/>
      <c r="H152" s="10"/>
      <c r="I152" s="26">
        <f>SUM(U145:U151)</f>
        <v>86.17</v>
      </c>
      <c r="J152" s="10">
        <f>160</f>
        <v>160</v>
      </c>
      <c r="K152" s="26">
        <f>SUM(V145:V151)</f>
        <v>2258.7800000000002</v>
      </c>
    </row>
    <row r="153" spans="1:27" ht="14.25" x14ac:dyDescent="0.2">
      <c r="A153" s="23"/>
      <c r="B153" s="23"/>
      <c r="C153" s="23" t="s">
        <v>368</v>
      </c>
      <c r="D153" s="24" t="s">
        <v>369</v>
      </c>
      <c r="E153" s="10">
        <f>Source!AQ80</f>
        <v>38.1</v>
      </c>
      <c r="F153" s="26"/>
      <c r="G153" s="25" t="str">
        <f>Source!DI80</f>
        <v/>
      </c>
      <c r="H153" s="10">
        <f>Source!AV80</f>
        <v>1.087</v>
      </c>
      <c r="I153" s="26">
        <f>Source!U80</f>
        <v>41.414700000000003</v>
      </c>
      <c r="J153" s="10"/>
      <c r="K153" s="26"/>
    </row>
    <row r="154" spans="1:27" ht="15" x14ac:dyDescent="0.25">
      <c r="A154" s="29"/>
      <c r="B154" s="29"/>
      <c r="C154" s="29"/>
      <c r="D154" s="29"/>
      <c r="E154" s="29"/>
      <c r="F154" s="29"/>
      <c r="G154" s="29"/>
      <c r="H154" s="41">
        <f>I146+I147+I149+I150+I151+I152</f>
        <v>1949.48</v>
      </c>
      <c r="I154" s="41"/>
      <c r="J154" s="41">
        <f>K146+K147+K149+K150+K151+K152</f>
        <v>41509.050000000003</v>
      </c>
      <c r="K154" s="41"/>
      <c r="O154" s="28">
        <f>I146+I147+I149+I150+I151+I152</f>
        <v>1949.48</v>
      </c>
      <c r="P154" s="28">
        <f>K146+K147+K149+K150+K151+K152</f>
        <v>41509.050000000003</v>
      </c>
      <c r="X154">
        <f>IF(Source!BI80&lt;=1,I146+I147+I149+I150+I151+I152-0, 0)</f>
        <v>0</v>
      </c>
      <c r="Y154">
        <f>IF(Source!BI80=2,I146+I147+I149+I150+I151+I152-0, 0)</f>
        <v>1949.48</v>
      </c>
      <c r="Z154">
        <f>IF(Source!BI80=3,I146+I147+I149+I150+I151+I152-0, 0)</f>
        <v>0</v>
      </c>
      <c r="AA154">
        <f>IF(Source!BI80=4,I146+I147+I149+I150+I151+I152,0)</f>
        <v>0</v>
      </c>
    </row>
    <row r="155" spans="1:27" ht="71.25" x14ac:dyDescent="0.2">
      <c r="A155" s="23">
        <v>13</v>
      </c>
      <c r="B155" s="23" t="str">
        <f>Source!F81</f>
        <v>4.8-42-2</v>
      </c>
      <c r="C155" s="23" t="s">
        <v>169</v>
      </c>
      <c r="D155" s="24" t="str">
        <f>Source!H81</f>
        <v>1  ШТ.</v>
      </c>
      <c r="E155" s="10">
        <f>Source!I81</f>
        <v>1</v>
      </c>
      <c r="F155" s="26"/>
      <c r="G155" s="25"/>
      <c r="H155" s="10"/>
      <c r="I155" s="26"/>
      <c r="J155" s="10"/>
      <c r="K155" s="26"/>
      <c r="Q155">
        <f>ROUND((Source!DN81/100)*ROUND((Source!AF81*Source!AV81)*Source!I81, 2), 2)</f>
        <v>408.44</v>
      </c>
      <c r="R155">
        <f>Source!X81</f>
        <v>9618.9599999999991</v>
      </c>
      <c r="S155">
        <f>ROUND((Source!DO81/100)*ROUND((Source!AF81*Source!AV81)*Source!I81, 2), 2)</f>
        <v>255.28</v>
      </c>
      <c r="T155">
        <f>Source!Y81</f>
        <v>4495.82</v>
      </c>
      <c r="U155">
        <f>ROUND((175/100)*ROUND((Source!AE81*Source!AV81)*Source!I81, 2), 2)</f>
        <v>191.64</v>
      </c>
      <c r="V155">
        <f>ROUND((160/100)*ROUND(Source!CS81*Source!I81, 2), 2)</f>
        <v>5023.25</v>
      </c>
    </row>
    <row r="156" spans="1:27" ht="14.25" x14ac:dyDescent="0.2">
      <c r="A156" s="23"/>
      <c r="B156" s="23"/>
      <c r="C156" s="23" t="s">
        <v>361</v>
      </c>
      <c r="D156" s="24"/>
      <c r="E156" s="10"/>
      <c r="F156" s="26">
        <f>Source!AO81</f>
        <v>348.31</v>
      </c>
      <c r="G156" s="25" t="str">
        <f>Source!DG81</f>
        <v/>
      </c>
      <c r="H156" s="10">
        <f>Source!AV81</f>
        <v>1.0469999999999999</v>
      </c>
      <c r="I156" s="26">
        <f>ROUND((Source!AF81*Source!AV81)*Source!I81, 2)</f>
        <v>364.68</v>
      </c>
      <c r="J156" s="10">
        <f>IF(Source!BA81&lt;&gt; 0, Source!BA81, 1)</f>
        <v>28.67</v>
      </c>
      <c r="K156" s="26">
        <f>Source!S81</f>
        <v>10455.39</v>
      </c>
      <c r="W156">
        <f>I156</f>
        <v>364.68</v>
      </c>
    </row>
    <row r="157" spans="1:27" ht="14.25" x14ac:dyDescent="0.2">
      <c r="A157" s="23"/>
      <c r="B157" s="23"/>
      <c r="C157" s="23" t="s">
        <v>362</v>
      </c>
      <c r="D157" s="24"/>
      <c r="E157" s="10"/>
      <c r="F157" s="26">
        <f>Source!AM81</f>
        <v>450.39</v>
      </c>
      <c r="G157" s="25" t="str">
        <f>Source!DE81</f>
        <v/>
      </c>
      <c r="H157" s="10">
        <f>Source!AV81</f>
        <v>1.0469999999999999</v>
      </c>
      <c r="I157" s="26">
        <f>ROUND((Source!AD81*Source!AV81)*Source!I81, 2)</f>
        <v>471.56</v>
      </c>
      <c r="J157" s="10">
        <f>IF(Source!BB81&lt;&gt; 0, Source!BB81, 1)</f>
        <v>12.4</v>
      </c>
      <c r="K157" s="26">
        <f>Source!Q81</f>
        <v>5847.32</v>
      </c>
    </row>
    <row r="158" spans="1:27" ht="14.25" x14ac:dyDescent="0.2">
      <c r="A158" s="23"/>
      <c r="B158" s="23"/>
      <c r="C158" s="23" t="s">
        <v>363</v>
      </c>
      <c r="D158" s="24"/>
      <c r="E158" s="10"/>
      <c r="F158" s="26">
        <f>Source!AN81</f>
        <v>104.59</v>
      </c>
      <c r="G158" s="25" t="str">
        <f>Source!DF81</f>
        <v/>
      </c>
      <c r="H158" s="10">
        <f>Source!AV81</f>
        <v>1.0469999999999999</v>
      </c>
      <c r="I158" s="27">
        <f>ROUND((Source!AE81*Source!AV81)*Source!I81, 2)</f>
        <v>109.51</v>
      </c>
      <c r="J158" s="10">
        <f>IF(Source!BS81&lt;&gt; 0, Source!BS81, 1)</f>
        <v>28.67</v>
      </c>
      <c r="K158" s="27">
        <f>Source!R81</f>
        <v>3139.53</v>
      </c>
      <c r="W158">
        <f>I158</f>
        <v>109.51</v>
      </c>
    </row>
    <row r="159" spans="1:27" ht="14.25" x14ac:dyDescent="0.2">
      <c r="A159" s="23"/>
      <c r="B159" s="23"/>
      <c r="C159" s="23" t="s">
        <v>375</v>
      </c>
      <c r="D159" s="24"/>
      <c r="E159" s="10"/>
      <c r="F159" s="26">
        <f>Source!AL81</f>
        <v>277.89999999999998</v>
      </c>
      <c r="G159" s="25" t="str">
        <f>Source!DD81</f>
        <v/>
      </c>
      <c r="H159" s="10">
        <f>Source!AW81</f>
        <v>1</v>
      </c>
      <c r="I159" s="26">
        <f>ROUND((Source!AC81*Source!AW81)*Source!I81, 2)</f>
        <v>277.89999999999998</v>
      </c>
      <c r="J159" s="10">
        <f>IF(Source!BC81&lt;&gt; 0, Source!BC81, 1)</f>
        <v>8.24</v>
      </c>
      <c r="K159" s="26">
        <f>Source!P81</f>
        <v>2289.9</v>
      </c>
    </row>
    <row r="160" spans="1:27" ht="14.25" x14ac:dyDescent="0.2">
      <c r="A160" s="23"/>
      <c r="B160" s="23"/>
      <c r="C160" s="23" t="s">
        <v>364</v>
      </c>
      <c r="D160" s="24" t="s">
        <v>365</v>
      </c>
      <c r="E160" s="10">
        <f>Source!DN81</f>
        <v>112</v>
      </c>
      <c r="F160" s="26"/>
      <c r="G160" s="25"/>
      <c r="H160" s="10"/>
      <c r="I160" s="26">
        <f>SUM(Q155:Q159)</f>
        <v>408.44</v>
      </c>
      <c r="J160" s="10">
        <f>Source!BZ81</f>
        <v>92</v>
      </c>
      <c r="K160" s="26">
        <f>SUM(R155:R159)</f>
        <v>9618.9599999999991</v>
      </c>
    </row>
    <row r="161" spans="1:27" ht="14.25" x14ac:dyDescent="0.2">
      <c r="A161" s="23"/>
      <c r="B161" s="23"/>
      <c r="C161" s="23" t="s">
        <v>366</v>
      </c>
      <c r="D161" s="24" t="s">
        <v>365</v>
      </c>
      <c r="E161" s="10">
        <f>Source!DO81</f>
        <v>70</v>
      </c>
      <c r="F161" s="26"/>
      <c r="G161" s="25"/>
      <c r="H161" s="10"/>
      <c r="I161" s="26">
        <f>SUM(S155:S160)</f>
        <v>255.28</v>
      </c>
      <c r="J161" s="10">
        <f>Source!CA81</f>
        <v>43</v>
      </c>
      <c r="K161" s="26">
        <f>SUM(T155:T160)</f>
        <v>4495.82</v>
      </c>
    </row>
    <row r="162" spans="1:27" ht="14.25" x14ac:dyDescent="0.2">
      <c r="A162" s="23"/>
      <c r="B162" s="23"/>
      <c r="C162" s="23" t="s">
        <v>367</v>
      </c>
      <c r="D162" s="24" t="s">
        <v>365</v>
      </c>
      <c r="E162" s="10">
        <f>175</f>
        <v>175</v>
      </c>
      <c r="F162" s="26"/>
      <c r="G162" s="25"/>
      <c r="H162" s="10"/>
      <c r="I162" s="26">
        <f>SUM(U155:U161)</f>
        <v>191.64</v>
      </c>
      <c r="J162" s="10">
        <f>160</f>
        <v>160</v>
      </c>
      <c r="K162" s="26">
        <f>SUM(V155:V161)</f>
        <v>5023.25</v>
      </c>
    </row>
    <row r="163" spans="1:27" ht="14.25" x14ac:dyDescent="0.2">
      <c r="A163" s="23"/>
      <c r="B163" s="23"/>
      <c r="C163" s="23" t="s">
        <v>368</v>
      </c>
      <c r="D163" s="24" t="s">
        <v>369</v>
      </c>
      <c r="E163" s="10">
        <f>Source!AQ81</f>
        <v>27.6</v>
      </c>
      <c r="F163" s="26"/>
      <c r="G163" s="25" t="str">
        <f>Source!DI81</f>
        <v/>
      </c>
      <c r="H163" s="10">
        <f>Source!AV81</f>
        <v>1.0469999999999999</v>
      </c>
      <c r="I163" s="26">
        <f>Source!U81</f>
        <v>28.897199999999998</v>
      </c>
      <c r="J163" s="10"/>
      <c r="K163" s="26"/>
    </row>
    <row r="164" spans="1:27" ht="15" x14ac:dyDescent="0.25">
      <c r="A164" s="29"/>
      <c r="B164" s="29"/>
      <c r="C164" s="29"/>
      <c r="D164" s="29"/>
      <c r="E164" s="29"/>
      <c r="F164" s="29"/>
      <c r="G164" s="29"/>
      <c r="H164" s="41">
        <f>I156+I157+I159+I160+I161+I162</f>
        <v>1969.5</v>
      </c>
      <c r="I164" s="41"/>
      <c r="J164" s="41">
        <f>K156+K157+K159+K160+K161+K162</f>
        <v>37730.639999999999</v>
      </c>
      <c r="K164" s="41"/>
      <c r="O164" s="28">
        <f>I156+I157+I159+I160+I161+I162</f>
        <v>1969.5</v>
      </c>
      <c r="P164" s="28">
        <f>K156+K157+K159+K160+K161+K162</f>
        <v>37730.639999999999</v>
      </c>
      <c r="X164">
        <f>IF(Source!BI81&lt;=1,I156+I157+I159+I160+I161+I162-0, 0)</f>
        <v>0</v>
      </c>
      <c r="Y164">
        <f>IF(Source!BI81=2,I156+I157+I159+I160+I161+I162-0, 0)</f>
        <v>1969.5</v>
      </c>
      <c r="Z164">
        <f>IF(Source!BI81=3,I156+I157+I159+I160+I161+I162-0, 0)</f>
        <v>0</v>
      </c>
      <c r="AA164">
        <f>IF(Source!BI81=4,I156+I157+I159+I160+I161+I162,0)</f>
        <v>0</v>
      </c>
    </row>
    <row r="165" spans="1:27" ht="14.25" x14ac:dyDescent="0.2">
      <c r="C165" s="31" t="str">
        <f>Source!G82</f>
        <v>Заземление</v>
      </c>
    </row>
    <row r="166" spans="1:27" ht="42.75" x14ac:dyDescent="0.2">
      <c r="A166" s="23">
        <v>14</v>
      </c>
      <c r="B166" s="23" t="str">
        <f>Source!F83</f>
        <v>3.1-51-1</v>
      </c>
      <c r="C166" s="23" t="s">
        <v>173</v>
      </c>
      <c r="D166" s="24" t="str">
        <f>Source!H83</f>
        <v>100 м3 грунта</v>
      </c>
      <c r="E166" s="10">
        <f>Source!I83</f>
        <v>4.5999999999999999E-2</v>
      </c>
      <c r="F166" s="26"/>
      <c r="G166" s="25"/>
      <c r="H166" s="10"/>
      <c r="I166" s="26"/>
      <c r="J166" s="10"/>
      <c r="K166" s="26"/>
      <c r="Q166">
        <f>ROUND((Source!DN83/100)*ROUND((Source!AF83*Source!AV83)*Source!I83, 2), 2)</f>
        <v>123.12</v>
      </c>
      <c r="R166">
        <f>Source!X83</f>
        <v>2924.87</v>
      </c>
      <c r="S166">
        <f>ROUND((Source!DO83/100)*ROUND((Source!AF83*Source!AV83)*Source!I83, 2), 2)</f>
        <v>90.29</v>
      </c>
      <c r="T166">
        <f>Source!Y83</f>
        <v>1378.39</v>
      </c>
      <c r="U166">
        <f>ROUND((175/100)*ROUND((Source!AE83*Source!AV83)*Source!I83, 2), 2)</f>
        <v>0</v>
      </c>
      <c r="V166">
        <f>ROUND((160/100)*ROUND(Source!CS83*Source!I83, 2), 2)</f>
        <v>0</v>
      </c>
    </row>
    <row r="167" spans="1:27" x14ac:dyDescent="0.2">
      <c r="C167" s="30" t="str">
        <f>"Объем: "&amp;Source!I83&amp;"=23*"&amp;"0,5*"&amp;"0,4/"&amp;"100"</f>
        <v>Объем: 0,046=23*0,5*0,4/100</v>
      </c>
    </row>
    <row r="168" spans="1:27" ht="14.25" x14ac:dyDescent="0.2">
      <c r="A168" s="23"/>
      <c r="B168" s="23"/>
      <c r="C168" s="23" t="s">
        <v>361</v>
      </c>
      <c r="D168" s="24"/>
      <c r="E168" s="10"/>
      <c r="F168" s="26">
        <f>Source!AO83</f>
        <v>2042.62</v>
      </c>
      <c r="G168" s="25" t="str">
        <f>Source!DG83</f>
        <v/>
      </c>
      <c r="H168" s="10">
        <f>Source!AV83</f>
        <v>1.248</v>
      </c>
      <c r="I168" s="26">
        <f>ROUND((Source!AF83*Source!AV83)*Source!I83, 2)</f>
        <v>117.26</v>
      </c>
      <c r="J168" s="10">
        <f>IF(Source!BA83&lt;&gt; 0, Source!BA83, 1)</f>
        <v>28.67</v>
      </c>
      <c r="K168" s="26">
        <f>Source!S83</f>
        <v>3361.92</v>
      </c>
      <c r="W168">
        <f>I168</f>
        <v>117.26</v>
      </c>
    </row>
    <row r="169" spans="1:27" ht="14.25" x14ac:dyDescent="0.2">
      <c r="A169" s="23"/>
      <c r="B169" s="23"/>
      <c r="C169" s="23" t="s">
        <v>364</v>
      </c>
      <c r="D169" s="24" t="s">
        <v>365</v>
      </c>
      <c r="E169" s="10">
        <f>Source!DN83</f>
        <v>105</v>
      </c>
      <c r="F169" s="26"/>
      <c r="G169" s="25"/>
      <c r="H169" s="10"/>
      <c r="I169" s="26">
        <f>SUM(Q166:Q168)</f>
        <v>123.12</v>
      </c>
      <c r="J169" s="10">
        <f>Source!BZ83</f>
        <v>87</v>
      </c>
      <c r="K169" s="26">
        <f>SUM(R166:R168)</f>
        <v>2924.87</v>
      </c>
    </row>
    <row r="170" spans="1:27" ht="14.25" x14ac:dyDescent="0.2">
      <c r="A170" s="23"/>
      <c r="B170" s="23"/>
      <c r="C170" s="23" t="s">
        <v>366</v>
      </c>
      <c r="D170" s="24" t="s">
        <v>365</v>
      </c>
      <c r="E170" s="10">
        <f>Source!DO83</f>
        <v>77</v>
      </c>
      <c r="F170" s="26"/>
      <c r="G170" s="25"/>
      <c r="H170" s="10"/>
      <c r="I170" s="26">
        <f>SUM(S166:S169)</f>
        <v>90.29</v>
      </c>
      <c r="J170" s="10">
        <f>Source!CA83</f>
        <v>41</v>
      </c>
      <c r="K170" s="26">
        <f>SUM(T166:T169)</f>
        <v>1378.39</v>
      </c>
    </row>
    <row r="171" spans="1:27" ht="14.25" x14ac:dyDescent="0.2">
      <c r="A171" s="23"/>
      <c r="B171" s="23"/>
      <c r="C171" s="23" t="s">
        <v>368</v>
      </c>
      <c r="D171" s="24" t="s">
        <v>369</v>
      </c>
      <c r="E171" s="10">
        <f>Source!AQ83</f>
        <v>192.7</v>
      </c>
      <c r="F171" s="26"/>
      <c r="G171" s="25" t="str">
        <f>Source!DI83</f>
        <v/>
      </c>
      <c r="H171" s="10">
        <f>Source!AV83</f>
        <v>1.248</v>
      </c>
      <c r="I171" s="26">
        <f>Source!U83</f>
        <v>11.0625216</v>
      </c>
      <c r="J171" s="10"/>
      <c r="K171" s="26"/>
    </row>
    <row r="172" spans="1:27" ht="15" x14ac:dyDescent="0.25">
      <c r="A172" s="29"/>
      <c r="B172" s="29"/>
      <c r="C172" s="29"/>
      <c r="D172" s="29"/>
      <c r="E172" s="29"/>
      <c r="F172" s="29"/>
      <c r="G172" s="29"/>
      <c r="H172" s="41">
        <f>I168+I169+I170</f>
        <v>330.67</v>
      </c>
      <c r="I172" s="41"/>
      <c r="J172" s="41">
        <f>K168+K169+K170</f>
        <v>7665.18</v>
      </c>
      <c r="K172" s="41"/>
      <c r="O172" s="28">
        <f>I168+I169+I170</f>
        <v>330.67</v>
      </c>
      <c r="P172" s="28">
        <f>K168+K169+K170</f>
        <v>7665.18</v>
      </c>
      <c r="X172">
        <f>IF(Source!BI83&lt;=1,I168+I169+I170-0, 0)</f>
        <v>330.67</v>
      </c>
      <c r="Y172">
        <f>IF(Source!BI83=2,I168+I169+I170-0, 0)</f>
        <v>0</v>
      </c>
      <c r="Z172">
        <f>IF(Source!BI83=3,I168+I169+I170-0, 0)</f>
        <v>0</v>
      </c>
      <c r="AA172">
        <f>IF(Source!BI83=4,I168+I169+I170,0)</f>
        <v>0</v>
      </c>
    </row>
    <row r="173" spans="1:27" ht="28.5" x14ac:dyDescent="0.2">
      <c r="A173" s="23">
        <v>15</v>
      </c>
      <c r="B173" s="23" t="str">
        <f>Source!F84</f>
        <v>3.1-53-1</v>
      </c>
      <c r="C173" s="23" t="s">
        <v>180</v>
      </c>
      <c r="D173" s="24" t="str">
        <f>Source!H84</f>
        <v>100 м3 грунта</v>
      </c>
      <c r="E173" s="10">
        <f>Source!I84</f>
        <v>4.5999999999999999E-2</v>
      </c>
      <c r="F173" s="26"/>
      <c r="G173" s="25"/>
      <c r="H173" s="10"/>
      <c r="I173" s="26"/>
      <c r="J173" s="10"/>
      <c r="K173" s="26"/>
      <c r="Q173">
        <f>ROUND((Source!DN84/100)*ROUND((Source!AF84*Source!AV84)*Source!I84, 2), 2)</f>
        <v>63.36</v>
      </c>
      <c r="R173">
        <f>Source!X84</f>
        <v>1505.13</v>
      </c>
      <c r="S173">
        <f>ROUND((Source!DO84/100)*ROUND((Source!AF84*Source!AV84)*Source!I84, 2), 2)</f>
        <v>46.46</v>
      </c>
      <c r="T173">
        <f>Source!Y84</f>
        <v>709.32</v>
      </c>
      <c r="U173">
        <f>ROUND((175/100)*ROUND((Source!AE84*Source!AV84)*Source!I84, 2), 2)</f>
        <v>0</v>
      </c>
      <c r="V173">
        <f>ROUND((160/100)*ROUND(Source!CS84*Source!I84, 2), 2)</f>
        <v>0</v>
      </c>
    </row>
    <row r="174" spans="1:27" ht="14.25" x14ac:dyDescent="0.2">
      <c r="A174" s="23"/>
      <c r="B174" s="23"/>
      <c r="C174" s="23" t="s">
        <v>361</v>
      </c>
      <c r="D174" s="24"/>
      <c r="E174" s="10"/>
      <c r="F174" s="26">
        <f>Source!AO84</f>
        <v>1051.1300000000001</v>
      </c>
      <c r="G174" s="25" t="str">
        <f>Source!DG84</f>
        <v/>
      </c>
      <c r="H174" s="10">
        <f>Source!AV84</f>
        <v>1.248</v>
      </c>
      <c r="I174" s="26">
        <f>ROUND((Source!AF84*Source!AV84)*Source!I84, 2)</f>
        <v>60.34</v>
      </c>
      <c r="J174" s="10">
        <f>IF(Source!BA84&lt;&gt; 0, Source!BA84, 1)</f>
        <v>28.67</v>
      </c>
      <c r="K174" s="26">
        <f>Source!S84</f>
        <v>1730.04</v>
      </c>
      <c r="W174">
        <f>I174</f>
        <v>60.34</v>
      </c>
    </row>
    <row r="175" spans="1:27" ht="14.25" x14ac:dyDescent="0.2">
      <c r="A175" s="23"/>
      <c r="B175" s="23"/>
      <c r="C175" s="23" t="s">
        <v>364</v>
      </c>
      <c r="D175" s="24" t="s">
        <v>365</v>
      </c>
      <c r="E175" s="10">
        <f>Source!DN84</f>
        <v>105</v>
      </c>
      <c r="F175" s="26"/>
      <c r="G175" s="25"/>
      <c r="H175" s="10"/>
      <c r="I175" s="26">
        <f>SUM(Q173:Q174)</f>
        <v>63.36</v>
      </c>
      <c r="J175" s="10">
        <f>Source!BZ84</f>
        <v>87</v>
      </c>
      <c r="K175" s="26">
        <f>SUM(R173:R174)</f>
        <v>1505.13</v>
      </c>
    </row>
    <row r="176" spans="1:27" ht="14.25" x14ac:dyDescent="0.2">
      <c r="A176" s="23"/>
      <c r="B176" s="23"/>
      <c r="C176" s="23" t="s">
        <v>366</v>
      </c>
      <c r="D176" s="24" t="s">
        <v>365</v>
      </c>
      <c r="E176" s="10">
        <f>Source!DO84</f>
        <v>77</v>
      </c>
      <c r="F176" s="26"/>
      <c r="G176" s="25"/>
      <c r="H176" s="10"/>
      <c r="I176" s="26">
        <f>SUM(S173:S175)</f>
        <v>46.46</v>
      </c>
      <c r="J176" s="10">
        <f>Source!CA84</f>
        <v>41</v>
      </c>
      <c r="K176" s="26">
        <f>SUM(T173:T175)</f>
        <v>709.32</v>
      </c>
    </row>
    <row r="177" spans="1:27" ht="14.25" x14ac:dyDescent="0.2">
      <c r="A177" s="23"/>
      <c r="B177" s="23"/>
      <c r="C177" s="23" t="s">
        <v>368</v>
      </c>
      <c r="D177" s="24" t="s">
        <v>369</v>
      </c>
      <c r="E177" s="10">
        <f>Source!AQ84</f>
        <v>107.04</v>
      </c>
      <c r="F177" s="26"/>
      <c r="G177" s="25" t="str">
        <f>Source!DI84</f>
        <v/>
      </c>
      <c r="H177" s="10">
        <f>Source!AV84</f>
        <v>1.248</v>
      </c>
      <c r="I177" s="26">
        <f>Source!U84</f>
        <v>6.1449523200000007</v>
      </c>
      <c r="J177" s="10"/>
      <c r="K177" s="26"/>
    </row>
    <row r="178" spans="1:27" ht="15" x14ac:dyDescent="0.25">
      <c r="A178" s="29"/>
      <c r="B178" s="29"/>
      <c r="C178" s="29"/>
      <c r="D178" s="29"/>
      <c r="E178" s="29"/>
      <c r="F178" s="29"/>
      <c r="G178" s="29"/>
      <c r="H178" s="41">
        <f>I174+I175+I176</f>
        <v>170.16</v>
      </c>
      <c r="I178" s="41"/>
      <c r="J178" s="41">
        <f>K174+K175+K176</f>
        <v>3944.4900000000002</v>
      </c>
      <c r="K178" s="41"/>
      <c r="O178" s="28">
        <f>I174+I175+I176</f>
        <v>170.16</v>
      </c>
      <c r="P178" s="28">
        <f>K174+K175+K176</f>
        <v>3944.4900000000002</v>
      </c>
      <c r="X178">
        <f>IF(Source!BI84&lt;=1,I174+I175+I176-0, 0)</f>
        <v>170.16</v>
      </c>
      <c r="Y178">
        <f>IF(Source!BI84=2,I174+I175+I176-0, 0)</f>
        <v>0</v>
      </c>
      <c r="Z178">
        <f>IF(Source!BI84=3,I174+I175+I176-0, 0)</f>
        <v>0</v>
      </c>
      <c r="AA178">
        <f>IF(Source!BI84=4,I174+I175+I176,0)</f>
        <v>0</v>
      </c>
    </row>
    <row r="179" spans="1:27" ht="42.75" x14ac:dyDescent="0.2">
      <c r="A179" s="23">
        <v>16</v>
      </c>
      <c r="B179" s="23" t="str">
        <f>Source!F85</f>
        <v>4.8-186-2</v>
      </c>
      <c r="C179" s="23" t="s">
        <v>184</v>
      </c>
      <c r="D179" s="24" t="str">
        <f>Source!H85</f>
        <v>10 шт.</v>
      </c>
      <c r="E179" s="10">
        <f>Source!I85</f>
        <v>0.8</v>
      </c>
      <c r="F179" s="26"/>
      <c r="G179" s="25"/>
      <c r="H179" s="10"/>
      <c r="I179" s="26"/>
      <c r="J179" s="10"/>
      <c r="K179" s="26"/>
      <c r="Q179">
        <f>ROUND((Source!DN85/100)*ROUND((Source!AF85*Source!AV85)*Source!I85, 2), 2)</f>
        <v>121.42</v>
      </c>
      <c r="R179">
        <f>Source!X85</f>
        <v>2859.39</v>
      </c>
      <c r="S179">
        <f>ROUND((Source!DO85/100)*ROUND((Source!AF85*Source!AV85)*Source!I85, 2), 2)</f>
        <v>75.89</v>
      </c>
      <c r="T179">
        <f>Source!Y85</f>
        <v>1336.45</v>
      </c>
      <c r="U179">
        <f>ROUND((175/100)*ROUND((Source!AE85*Source!AV85)*Source!I85, 2), 2)</f>
        <v>13.98</v>
      </c>
      <c r="V179">
        <f>ROUND((160/100)*ROUND(Source!CS85*Source!I85, 2), 2)</f>
        <v>366.5</v>
      </c>
    </row>
    <row r="180" spans="1:27" ht="14.25" x14ac:dyDescent="0.2">
      <c r="A180" s="23"/>
      <c r="B180" s="23"/>
      <c r="C180" s="23" t="s">
        <v>361</v>
      </c>
      <c r="D180" s="24"/>
      <c r="E180" s="10"/>
      <c r="F180" s="26">
        <f>Source!AO85</f>
        <v>127</v>
      </c>
      <c r="G180" s="25" t="str">
        <f>Source!DG85</f>
        <v/>
      </c>
      <c r="H180" s="10">
        <f>Source!AV85</f>
        <v>1.0669999999999999</v>
      </c>
      <c r="I180" s="26">
        <f>ROUND((Source!AF85*Source!AV85)*Source!I85, 2)</f>
        <v>108.41</v>
      </c>
      <c r="J180" s="10">
        <f>IF(Source!BA85&lt;&gt; 0, Source!BA85, 1)</f>
        <v>28.67</v>
      </c>
      <c r="K180" s="26">
        <f>Source!S85</f>
        <v>3108.03</v>
      </c>
      <c r="W180">
        <f>I180</f>
        <v>108.41</v>
      </c>
    </row>
    <row r="181" spans="1:27" ht="14.25" x14ac:dyDescent="0.2">
      <c r="A181" s="23"/>
      <c r="B181" s="23"/>
      <c r="C181" s="23" t="s">
        <v>362</v>
      </c>
      <c r="D181" s="24"/>
      <c r="E181" s="10"/>
      <c r="F181" s="26">
        <f>Source!AM85</f>
        <v>88.39</v>
      </c>
      <c r="G181" s="25" t="str">
        <f>Source!DE85</f>
        <v/>
      </c>
      <c r="H181" s="10">
        <f>Source!AV85</f>
        <v>1.0669999999999999</v>
      </c>
      <c r="I181" s="26">
        <f>ROUND((Source!AD85*Source!AV85)*Source!I85, 2)</f>
        <v>75.45</v>
      </c>
      <c r="J181" s="10">
        <f>IF(Source!BB85&lt;&gt; 0, Source!BB85, 1)</f>
        <v>9.7200000000000006</v>
      </c>
      <c r="K181" s="26">
        <f>Source!Q85</f>
        <v>733.37</v>
      </c>
    </row>
    <row r="182" spans="1:27" ht="14.25" x14ac:dyDescent="0.2">
      <c r="A182" s="23"/>
      <c r="B182" s="23"/>
      <c r="C182" s="23" t="s">
        <v>363</v>
      </c>
      <c r="D182" s="24"/>
      <c r="E182" s="10"/>
      <c r="F182" s="26">
        <f>Source!AN85</f>
        <v>9.36</v>
      </c>
      <c r="G182" s="25" t="str">
        <f>Source!DF85</f>
        <v/>
      </c>
      <c r="H182" s="10">
        <f>Source!AV85</f>
        <v>1.0669999999999999</v>
      </c>
      <c r="I182" s="27">
        <f>ROUND((Source!AE85*Source!AV85)*Source!I85, 2)</f>
        <v>7.99</v>
      </c>
      <c r="J182" s="10">
        <f>IF(Source!BS85&lt;&gt; 0, Source!BS85, 1)</f>
        <v>28.67</v>
      </c>
      <c r="K182" s="27">
        <f>Source!R85</f>
        <v>229.06</v>
      </c>
      <c r="W182">
        <f>I182</f>
        <v>7.99</v>
      </c>
    </row>
    <row r="183" spans="1:27" ht="14.25" x14ac:dyDescent="0.2">
      <c r="A183" s="23"/>
      <c r="B183" s="23"/>
      <c r="C183" s="23" t="s">
        <v>375</v>
      </c>
      <c r="D183" s="24"/>
      <c r="E183" s="10"/>
      <c r="F183" s="26">
        <f>Source!AL85</f>
        <v>232.4</v>
      </c>
      <c r="G183" s="25" t="str">
        <f>Source!DD85</f>
        <v/>
      </c>
      <c r="H183" s="10">
        <f>Source!AW85</f>
        <v>1.081</v>
      </c>
      <c r="I183" s="26">
        <f>ROUND((Source!AC85*Source!AW85)*Source!I85, 2)</f>
        <v>200.98</v>
      </c>
      <c r="J183" s="10">
        <f>IF(Source!BC85&lt;&gt; 0, Source!BC85, 1)</f>
        <v>8.24</v>
      </c>
      <c r="K183" s="26">
        <f>Source!P85</f>
        <v>1656.07</v>
      </c>
    </row>
    <row r="184" spans="1:27" ht="42.75" x14ac:dyDescent="0.2">
      <c r="A184" s="23" t="s">
        <v>189</v>
      </c>
      <c r="B184" s="23" t="str">
        <f>Source!F86</f>
        <v>1.1-1-1111</v>
      </c>
      <c r="C184" s="23" t="s">
        <v>155</v>
      </c>
      <c r="D184" s="24" t="str">
        <f>Source!H86</f>
        <v>т</v>
      </c>
      <c r="E184" s="10">
        <f>Source!I86</f>
        <v>0.11543999999999999</v>
      </c>
      <c r="F184" s="26">
        <f>Source!AK86</f>
        <v>7879.13</v>
      </c>
      <c r="G184" s="32" t="s">
        <v>3</v>
      </c>
      <c r="H184" s="10">
        <f>Source!AW86</f>
        <v>1</v>
      </c>
      <c r="I184" s="26">
        <f>ROUND((Source!AC86*Source!AW86)*Source!I86, 2)+ROUND((Source!AD86*Source!AV86)*Source!I86, 2)+ROUND((Source!AF86*Source!AV86)*Source!I86, 2)</f>
        <v>909.57</v>
      </c>
      <c r="J184" s="10">
        <f>IF(Source!BC86&lt;&gt; 0, Source!BC86, 1)</f>
        <v>3.11</v>
      </c>
      <c r="K184" s="26">
        <f>Source!O86</f>
        <v>2828.75</v>
      </c>
      <c r="Q184">
        <f>ROUND((Source!DN86/100)*ROUND((Source!AF86*Source!AV86)*Source!I86, 2), 2)</f>
        <v>0</v>
      </c>
      <c r="R184">
        <f>Source!X86</f>
        <v>0</v>
      </c>
      <c r="S184">
        <f>ROUND((Source!DO86/100)*ROUND((Source!AF86*Source!AV86)*Source!I86, 2), 2)</f>
        <v>0</v>
      </c>
      <c r="T184">
        <f>Source!Y86</f>
        <v>0</v>
      </c>
      <c r="U184">
        <f>ROUND((175/100)*ROUND((Source!AE86*Source!AV86)*Source!I86, 2), 2)</f>
        <v>0</v>
      </c>
      <c r="V184">
        <f>ROUND((160/100)*ROUND(Source!CS86*Source!I86, 2), 2)</f>
        <v>0</v>
      </c>
      <c r="X184">
        <f>IF(Source!BI86&lt;=1,I184, 0)</f>
        <v>909.57</v>
      </c>
      <c r="Y184">
        <f>IF(Source!BI86=2,I184, 0)</f>
        <v>0</v>
      </c>
      <c r="Z184">
        <f>IF(Source!BI86=3,I184, 0)</f>
        <v>0</v>
      </c>
      <c r="AA184">
        <f>IF(Source!BI86=4,I184, 0)</f>
        <v>0</v>
      </c>
    </row>
    <row r="185" spans="1:27" ht="14.25" x14ac:dyDescent="0.2">
      <c r="A185" s="23"/>
      <c r="B185" s="23"/>
      <c r="C185" s="23" t="s">
        <v>364</v>
      </c>
      <c r="D185" s="24" t="s">
        <v>365</v>
      </c>
      <c r="E185" s="10">
        <f>Source!DN85</f>
        <v>112</v>
      </c>
      <c r="F185" s="26"/>
      <c r="G185" s="25"/>
      <c r="H185" s="10"/>
      <c r="I185" s="26">
        <f>SUM(Q179:Q184)</f>
        <v>121.42</v>
      </c>
      <c r="J185" s="10">
        <f>Source!BZ85</f>
        <v>92</v>
      </c>
      <c r="K185" s="26">
        <f>SUM(R179:R184)</f>
        <v>2859.39</v>
      </c>
    </row>
    <row r="186" spans="1:27" ht="14.25" x14ac:dyDescent="0.2">
      <c r="A186" s="23"/>
      <c r="B186" s="23"/>
      <c r="C186" s="23" t="s">
        <v>366</v>
      </c>
      <c r="D186" s="24" t="s">
        <v>365</v>
      </c>
      <c r="E186" s="10">
        <f>Source!DO85</f>
        <v>70</v>
      </c>
      <c r="F186" s="26"/>
      <c r="G186" s="25"/>
      <c r="H186" s="10"/>
      <c r="I186" s="26">
        <f>SUM(S179:S185)</f>
        <v>75.89</v>
      </c>
      <c r="J186" s="10">
        <f>Source!CA85</f>
        <v>43</v>
      </c>
      <c r="K186" s="26">
        <f>SUM(T179:T185)</f>
        <v>1336.45</v>
      </c>
    </row>
    <row r="187" spans="1:27" ht="14.25" x14ac:dyDescent="0.2">
      <c r="A187" s="23"/>
      <c r="B187" s="23"/>
      <c r="C187" s="23" t="s">
        <v>367</v>
      </c>
      <c r="D187" s="24" t="s">
        <v>365</v>
      </c>
      <c r="E187" s="10">
        <f>175</f>
        <v>175</v>
      </c>
      <c r="F187" s="26"/>
      <c r="G187" s="25"/>
      <c r="H187" s="10"/>
      <c r="I187" s="26">
        <f>SUM(U179:U186)</f>
        <v>13.98</v>
      </c>
      <c r="J187" s="10">
        <f>160</f>
        <v>160</v>
      </c>
      <c r="K187" s="26">
        <f>SUM(V179:V186)</f>
        <v>366.5</v>
      </c>
    </row>
    <row r="188" spans="1:27" ht="14.25" x14ac:dyDescent="0.2">
      <c r="A188" s="23"/>
      <c r="B188" s="23"/>
      <c r="C188" s="23" t="s">
        <v>368</v>
      </c>
      <c r="D188" s="24" t="s">
        <v>369</v>
      </c>
      <c r="E188" s="10">
        <f>Source!AQ85</f>
        <v>10.3</v>
      </c>
      <c r="F188" s="26"/>
      <c r="G188" s="25" t="str">
        <f>Source!DI85</f>
        <v/>
      </c>
      <c r="H188" s="10">
        <f>Source!AV85</f>
        <v>1.0669999999999999</v>
      </c>
      <c r="I188" s="26">
        <f>Source!U85</f>
        <v>8.7920800000000003</v>
      </c>
      <c r="J188" s="10"/>
      <c r="K188" s="26"/>
    </row>
    <row r="189" spans="1:27" ht="15" x14ac:dyDescent="0.25">
      <c r="A189" s="29"/>
      <c r="B189" s="29"/>
      <c r="C189" s="29"/>
      <c r="D189" s="29"/>
      <c r="E189" s="29"/>
      <c r="F189" s="29"/>
      <c r="G189" s="29"/>
      <c r="H189" s="41">
        <f>I180+I181+I183+I185+I186+I187+SUM(I184:I184)</f>
        <v>1505.7000000000003</v>
      </c>
      <c r="I189" s="41"/>
      <c r="J189" s="41">
        <f>K180+K181+K183+K185+K186+K187+SUM(K184:K184)</f>
        <v>12888.560000000001</v>
      </c>
      <c r="K189" s="41"/>
      <c r="O189" s="28">
        <f>I180+I181+I183+I185+I186+I187+SUM(I184:I184)</f>
        <v>1505.7000000000003</v>
      </c>
      <c r="P189" s="28">
        <f>K180+K181+K183+K185+K186+K187+SUM(K184:K184)</f>
        <v>12888.560000000001</v>
      </c>
      <c r="X189">
        <f>IF(Source!BI85&lt;=1,I180+I181+I183+I185+I186+I187-0, 0)</f>
        <v>0</v>
      </c>
      <c r="Y189">
        <f>IF(Source!BI85=2,I180+I181+I183+I185+I186+I187-0, 0)</f>
        <v>596.13000000000011</v>
      </c>
      <c r="Z189">
        <f>IF(Source!BI85=3,I180+I181+I183+I185+I186+I187-0, 0)</f>
        <v>0</v>
      </c>
      <c r="AA189">
        <f>IF(Source!BI85=4,I180+I181+I183+I185+I186+I187,0)</f>
        <v>0</v>
      </c>
    </row>
    <row r="190" spans="1:27" ht="57" x14ac:dyDescent="0.2">
      <c r="A190" s="23">
        <v>17</v>
      </c>
      <c r="B190" s="23" t="str">
        <f>Source!F87</f>
        <v>4.8-187-2</v>
      </c>
      <c r="C190" s="23" t="s">
        <v>192</v>
      </c>
      <c r="D190" s="24" t="str">
        <f>Source!H87</f>
        <v>100 м</v>
      </c>
      <c r="E190" s="10">
        <f>Source!I87</f>
        <v>0.23</v>
      </c>
      <c r="F190" s="26"/>
      <c r="G190" s="25"/>
      <c r="H190" s="10"/>
      <c r="I190" s="26"/>
      <c r="J190" s="10"/>
      <c r="K190" s="26"/>
      <c r="Q190">
        <f>ROUND((Source!DN87/100)*ROUND((Source!AF87*Source!AV87)*Source!I87, 2), 2)</f>
        <v>48.8</v>
      </c>
      <c r="R190">
        <f>Source!X87</f>
        <v>1149.28</v>
      </c>
      <c r="S190">
        <f>ROUND((Source!DO87/100)*ROUND((Source!AF87*Source!AV87)*Source!I87, 2), 2)</f>
        <v>30.5</v>
      </c>
      <c r="T190">
        <f>Source!Y87</f>
        <v>537.16</v>
      </c>
      <c r="U190">
        <f>ROUND((175/100)*ROUND((Source!AE87*Source!AV87)*Source!I87, 2), 2)</f>
        <v>4.8</v>
      </c>
      <c r="V190">
        <f>ROUND((160/100)*ROUND(Source!CS87*Source!I87, 2), 2)</f>
        <v>125.74</v>
      </c>
    </row>
    <row r="191" spans="1:27" ht="14.25" x14ac:dyDescent="0.2">
      <c r="A191" s="23"/>
      <c r="B191" s="23"/>
      <c r="C191" s="23" t="s">
        <v>361</v>
      </c>
      <c r="D191" s="24"/>
      <c r="E191" s="10"/>
      <c r="F191" s="26">
        <f>Source!AO87</f>
        <v>177.55</v>
      </c>
      <c r="G191" s="25" t="str">
        <f>Source!DG87</f>
        <v/>
      </c>
      <c r="H191" s="10">
        <f>Source!AV87</f>
        <v>1.0669999999999999</v>
      </c>
      <c r="I191" s="26">
        <f>ROUND((Source!AF87*Source!AV87)*Source!I87, 2)</f>
        <v>43.57</v>
      </c>
      <c r="J191" s="10">
        <f>IF(Source!BA87&lt;&gt; 0, Source!BA87, 1)</f>
        <v>28.67</v>
      </c>
      <c r="K191" s="26">
        <f>Source!S87</f>
        <v>1249.22</v>
      </c>
      <c r="W191">
        <f>I191</f>
        <v>43.57</v>
      </c>
    </row>
    <row r="192" spans="1:27" ht="14.25" x14ac:dyDescent="0.2">
      <c r="A192" s="23"/>
      <c r="B192" s="23"/>
      <c r="C192" s="23" t="s">
        <v>362</v>
      </c>
      <c r="D192" s="24"/>
      <c r="E192" s="10"/>
      <c r="F192" s="26">
        <f>Source!AM87</f>
        <v>134.11000000000001</v>
      </c>
      <c r="G192" s="25" t="str">
        <f>Source!DE87</f>
        <v/>
      </c>
      <c r="H192" s="10">
        <f>Source!AV87</f>
        <v>1.0669999999999999</v>
      </c>
      <c r="I192" s="26">
        <f>ROUND((Source!AD87*Source!AV87)*Source!I87, 2)</f>
        <v>32.909999999999997</v>
      </c>
      <c r="J192" s="10">
        <f>IF(Source!BB87&lt;&gt; 0, Source!BB87, 1)</f>
        <v>9.24</v>
      </c>
      <c r="K192" s="26">
        <f>Source!Q87</f>
        <v>304.11</v>
      </c>
    </row>
    <row r="193" spans="1:27" ht="14.25" x14ac:dyDescent="0.2">
      <c r="A193" s="23"/>
      <c r="B193" s="23"/>
      <c r="C193" s="23" t="s">
        <v>363</v>
      </c>
      <c r="D193" s="24"/>
      <c r="E193" s="10"/>
      <c r="F193" s="26">
        <f>Source!AN87</f>
        <v>11.17</v>
      </c>
      <c r="G193" s="25" t="str">
        <f>Source!DF87</f>
        <v/>
      </c>
      <c r="H193" s="10">
        <f>Source!AV87</f>
        <v>1.0669999999999999</v>
      </c>
      <c r="I193" s="27">
        <f>ROUND((Source!AE87*Source!AV87)*Source!I87, 2)</f>
        <v>2.74</v>
      </c>
      <c r="J193" s="10">
        <f>IF(Source!BS87&lt;&gt; 0, Source!BS87, 1)</f>
        <v>28.67</v>
      </c>
      <c r="K193" s="27">
        <f>Source!R87</f>
        <v>78.59</v>
      </c>
      <c r="W193">
        <f>I193</f>
        <v>2.74</v>
      </c>
    </row>
    <row r="194" spans="1:27" ht="14.25" x14ac:dyDescent="0.2">
      <c r="A194" s="23"/>
      <c r="B194" s="23"/>
      <c r="C194" s="23" t="s">
        <v>375</v>
      </c>
      <c r="D194" s="24"/>
      <c r="E194" s="10"/>
      <c r="F194" s="26">
        <f>Source!AL87</f>
        <v>210.7</v>
      </c>
      <c r="G194" s="25" t="str">
        <f>Source!DD87</f>
        <v/>
      </c>
      <c r="H194" s="10">
        <f>Source!AW87</f>
        <v>1.081</v>
      </c>
      <c r="I194" s="26">
        <f>ROUND((Source!AC87*Source!AW87)*Source!I87, 2)</f>
        <v>52.39</v>
      </c>
      <c r="J194" s="10">
        <f>IF(Source!BC87&lt;&gt; 0, Source!BC87, 1)</f>
        <v>8.24</v>
      </c>
      <c r="K194" s="26">
        <f>Source!P87</f>
        <v>431.66</v>
      </c>
    </row>
    <row r="195" spans="1:27" ht="28.5" x14ac:dyDescent="0.2">
      <c r="A195" s="23" t="s">
        <v>195</v>
      </c>
      <c r="B195" s="23" t="str">
        <f>Source!F88</f>
        <v>1.1-1-1090</v>
      </c>
      <c r="C195" s="23" t="s">
        <v>197</v>
      </c>
      <c r="D195" s="24" t="str">
        <f>Source!H88</f>
        <v>т</v>
      </c>
      <c r="E195" s="10">
        <f>Source!I88</f>
        <v>3.6110000000000003E-2</v>
      </c>
      <c r="F195" s="26">
        <f>Source!AK88</f>
        <v>6500.22</v>
      </c>
      <c r="G195" s="32" t="s">
        <v>3</v>
      </c>
      <c r="H195" s="10">
        <f>Source!AW88</f>
        <v>1.081</v>
      </c>
      <c r="I195" s="26">
        <f>ROUND((Source!AC88*Source!AW88)*Source!I88, 2)+ROUND((Source!AD88*Source!AV88)*Source!I88, 2)+ROUND((Source!AF88*Source!AV88)*Source!I88, 2)</f>
        <v>253.74</v>
      </c>
      <c r="J195" s="10">
        <f>IF(Source!BC88&lt;&gt; 0, Source!BC88, 1)</f>
        <v>4.4400000000000004</v>
      </c>
      <c r="K195" s="26">
        <f>Source!O88</f>
        <v>1126.5899999999999</v>
      </c>
      <c r="Q195">
        <f>ROUND((Source!DN88/100)*ROUND((Source!AF88*Source!AV88)*Source!I88, 2), 2)</f>
        <v>0</v>
      </c>
      <c r="R195">
        <f>Source!X88</f>
        <v>0</v>
      </c>
      <c r="S195">
        <f>ROUND((Source!DO88/100)*ROUND((Source!AF88*Source!AV88)*Source!I88, 2), 2)</f>
        <v>0</v>
      </c>
      <c r="T195">
        <f>Source!Y88</f>
        <v>0</v>
      </c>
      <c r="U195">
        <f>ROUND((175/100)*ROUND((Source!AE88*Source!AV88)*Source!I88, 2), 2)</f>
        <v>0</v>
      </c>
      <c r="V195">
        <f>ROUND((160/100)*ROUND(Source!CS88*Source!I88, 2), 2)</f>
        <v>0</v>
      </c>
      <c r="X195">
        <f>IF(Source!BI88&lt;=1,I195, 0)</f>
        <v>0</v>
      </c>
      <c r="Y195">
        <f>IF(Source!BI88=2,I195, 0)</f>
        <v>253.74</v>
      </c>
      <c r="Z195">
        <f>IF(Source!BI88=3,I195, 0)</f>
        <v>0</v>
      </c>
      <c r="AA195">
        <f>IF(Source!BI88=4,I195, 0)</f>
        <v>0</v>
      </c>
    </row>
    <row r="196" spans="1:27" ht="14.25" x14ac:dyDescent="0.2">
      <c r="A196" s="23"/>
      <c r="B196" s="23"/>
      <c r="C196" s="23" t="s">
        <v>364</v>
      </c>
      <c r="D196" s="24" t="s">
        <v>365</v>
      </c>
      <c r="E196" s="10">
        <f>Source!DN87</f>
        <v>112</v>
      </c>
      <c r="F196" s="26"/>
      <c r="G196" s="25"/>
      <c r="H196" s="10"/>
      <c r="I196" s="26">
        <f>SUM(Q190:Q195)</f>
        <v>48.8</v>
      </c>
      <c r="J196" s="10">
        <f>Source!BZ87</f>
        <v>92</v>
      </c>
      <c r="K196" s="26">
        <f>SUM(R190:R195)</f>
        <v>1149.28</v>
      </c>
    </row>
    <row r="197" spans="1:27" ht="14.25" x14ac:dyDescent="0.2">
      <c r="A197" s="23"/>
      <c r="B197" s="23"/>
      <c r="C197" s="23" t="s">
        <v>366</v>
      </c>
      <c r="D197" s="24" t="s">
        <v>365</v>
      </c>
      <c r="E197" s="10">
        <f>Source!DO87</f>
        <v>70</v>
      </c>
      <c r="F197" s="26"/>
      <c r="G197" s="25"/>
      <c r="H197" s="10"/>
      <c r="I197" s="26">
        <f>SUM(S190:S196)</f>
        <v>30.5</v>
      </c>
      <c r="J197" s="10">
        <f>Source!CA87</f>
        <v>43</v>
      </c>
      <c r="K197" s="26">
        <f>SUM(T190:T196)</f>
        <v>537.16</v>
      </c>
    </row>
    <row r="198" spans="1:27" ht="14.25" x14ac:dyDescent="0.2">
      <c r="A198" s="23"/>
      <c r="B198" s="23"/>
      <c r="C198" s="23" t="s">
        <v>367</v>
      </c>
      <c r="D198" s="24" t="s">
        <v>365</v>
      </c>
      <c r="E198" s="10">
        <f>175</f>
        <v>175</v>
      </c>
      <c r="F198" s="26"/>
      <c r="G198" s="25"/>
      <c r="H198" s="10"/>
      <c r="I198" s="26">
        <f>SUM(U190:U197)</f>
        <v>4.8</v>
      </c>
      <c r="J198" s="10">
        <f>160</f>
        <v>160</v>
      </c>
      <c r="K198" s="26">
        <f>SUM(V190:V197)</f>
        <v>125.74</v>
      </c>
    </row>
    <row r="199" spans="1:27" ht="14.25" x14ac:dyDescent="0.2">
      <c r="A199" s="23"/>
      <c r="B199" s="23"/>
      <c r="C199" s="23" t="s">
        <v>368</v>
      </c>
      <c r="D199" s="24" t="s">
        <v>369</v>
      </c>
      <c r="E199" s="10">
        <f>Source!AQ87</f>
        <v>14.4</v>
      </c>
      <c r="F199" s="26"/>
      <c r="G199" s="25" t="str">
        <f>Source!DI87</f>
        <v/>
      </c>
      <c r="H199" s="10">
        <f>Source!AV87</f>
        <v>1.0669999999999999</v>
      </c>
      <c r="I199" s="26">
        <f>Source!U87</f>
        <v>3.5339039999999997</v>
      </c>
      <c r="J199" s="10"/>
      <c r="K199" s="26"/>
    </row>
    <row r="200" spans="1:27" ht="15" x14ac:dyDescent="0.25">
      <c r="A200" s="29"/>
      <c r="B200" s="29"/>
      <c r="C200" s="29"/>
      <c r="D200" s="29"/>
      <c r="E200" s="29"/>
      <c r="F200" s="29"/>
      <c r="G200" s="29"/>
      <c r="H200" s="41">
        <f>I191+I192+I194+I196+I197+I198+SUM(I195:I195)</f>
        <v>466.71000000000004</v>
      </c>
      <c r="I200" s="41"/>
      <c r="J200" s="41">
        <f>K191+K192+K194+K196+K197+K198+SUM(K195:K195)</f>
        <v>4923.7599999999993</v>
      </c>
      <c r="K200" s="41"/>
      <c r="O200" s="28">
        <f>I191+I192+I194+I196+I197+I198+SUM(I195:I195)</f>
        <v>466.71000000000004</v>
      </c>
      <c r="P200" s="28">
        <f>K191+K192+K194+K196+K197+K198+SUM(K195:K195)</f>
        <v>4923.7599999999993</v>
      </c>
      <c r="X200">
        <f>IF(Source!BI87&lt;=1,I191+I192+I194+I196+I197+I198-0, 0)</f>
        <v>0</v>
      </c>
      <c r="Y200">
        <f>IF(Source!BI87=2,I191+I192+I194+I196+I197+I198-0, 0)</f>
        <v>212.97000000000003</v>
      </c>
      <c r="Z200">
        <f>IF(Source!BI87=3,I191+I192+I194+I196+I197+I198-0, 0)</f>
        <v>0</v>
      </c>
      <c r="AA200">
        <f>IF(Source!BI87=4,I191+I192+I194+I196+I197+I198,0)</f>
        <v>0</v>
      </c>
    </row>
    <row r="201" spans="1:27" ht="42.75" x14ac:dyDescent="0.2">
      <c r="A201" s="23">
        <v>18</v>
      </c>
      <c r="B201" s="23" t="str">
        <f>Source!F89</f>
        <v>4.8-187-7</v>
      </c>
      <c r="C201" s="23" t="s">
        <v>201</v>
      </c>
      <c r="D201" s="24" t="str">
        <f>Source!H89</f>
        <v>100 м</v>
      </c>
      <c r="E201" s="10">
        <f>Source!I89</f>
        <v>0.02</v>
      </c>
      <c r="F201" s="26"/>
      <c r="G201" s="25"/>
      <c r="H201" s="10"/>
      <c r="I201" s="26"/>
      <c r="J201" s="10"/>
      <c r="K201" s="26"/>
      <c r="Q201">
        <f>ROUND((Source!DN89/100)*ROUND((Source!AF89*Source!AV89)*Source!I89, 2), 2)</f>
        <v>5.45</v>
      </c>
      <c r="R201">
        <f>Source!X89</f>
        <v>128.4</v>
      </c>
      <c r="S201">
        <f>ROUND((Source!DO89/100)*ROUND((Source!AF89*Source!AV89)*Source!I89, 2), 2)</f>
        <v>3.41</v>
      </c>
      <c r="T201">
        <f>Source!Y89</f>
        <v>60.01</v>
      </c>
      <c r="U201">
        <f>ROUND((175/100)*ROUND((Source!AE89*Source!AV89)*Source!I89, 2), 2)</f>
        <v>0.46</v>
      </c>
      <c r="V201">
        <f>ROUND((160/100)*ROUND(Source!CS89*Source!I89, 2), 2)</f>
        <v>12.03</v>
      </c>
    </row>
    <row r="202" spans="1:27" ht="14.25" x14ac:dyDescent="0.2">
      <c r="A202" s="23"/>
      <c r="B202" s="23"/>
      <c r="C202" s="23" t="s">
        <v>361</v>
      </c>
      <c r="D202" s="24"/>
      <c r="E202" s="10"/>
      <c r="F202" s="26">
        <f>Source!AO89</f>
        <v>228.1</v>
      </c>
      <c r="G202" s="25" t="str">
        <f>Source!DG89</f>
        <v/>
      </c>
      <c r="H202" s="10">
        <f>Source!AV89</f>
        <v>1.0669999999999999</v>
      </c>
      <c r="I202" s="26">
        <f>ROUND((Source!AF89*Source!AV89)*Source!I89, 2)</f>
        <v>4.87</v>
      </c>
      <c r="J202" s="10">
        <f>IF(Source!BA89&lt;&gt; 0, Source!BA89, 1)</f>
        <v>28.67</v>
      </c>
      <c r="K202" s="26">
        <f>Source!S89</f>
        <v>139.56</v>
      </c>
      <c r="W202">
        <f>I202</f>
        <v>4.87</v>
      </c>
    </row>
    <row r="203" spans="1:27" ht="14.25" x14ac:dyDescent="0.2">
      <c r="A203" s="23"/>
      <c r="B203" s="23"/>
      <c r="C203" s="23" t="s">
        <v>362</v>
      </c>
      <c r="D203" s="24"/>
      <c r="E203" s="10"/>
      <c r="F203" s="26">
        <f>Source!AM89</f>
        <v>145.33000000000001</v>
      </c>
      <c r="G203" s="25" t="str">
        <f>Source!DE89</f>
        <v/>
      </c>
      <c r="H203" s="10">
        <f>Source!AV89</f>
        <v>1.0669999999999999</v>
      </c>
      <c r="I203" s="26">
        <f>ROUND((Source!AD89*Source!AV89)*Source!I89, 2)</f>
        <v>3.1</v>
      </c>
      <c r="J203" s="10">
        <f>IF(Source!BB89&lt;&gt; 0, Source!BB89, 1)</f>
        <v>9.27</v>
      </c>
      <c r="K203" s="26">
        <f>Source!Q89</f>
        <v>28.75</v>
      </c>
    </row>
    <row r="204" spans="1:27" ht="14.25" x14ac:dyDescent="0.2">
      <c r="A204" s="23"/>
      <c r="B204" s="23"/>
      <c r="C204" s="23" t="s">
        <v>363</v>
      </c>
      <c r="D204" s="24"/>
      <c r="E204" s="10"/>
      <c r="F204" s="26">
        <f>Source!AN89</f>
        <v>12.29</v>
      </c>
      <c r="G204" s="25" t="str">
        <f>Source!DF89</f>
        <v/>
      </c>
      <c r="H204" s="10">
        <f>Source!AV89</f>
        <v>1.0669999999999999</v>
      </c>
      <c r="I204" s="27">
        <f>ROUND((Source!AE89*Source!AV89)*Source!I89, 2)</f>
        <v>0.26</v>
      </c>
      <c r="J204" s="10">
        <f>IF(Source!BS89&lt;&gt; 0, Source!BS89, 1)</f>
        <v>28.67</v>
      </c>
      <c r="K204" s="27">
        <f>Source!R89</f>
        <v>7.52</v>
      </c>
      <c r="W204">
        <f>I204</f>
        <v>0.26</v>
      </c>
    </row>
    <row r="205" spans="1:27" ht="14.25" x14ac:dyDescent="0.2">
      <c r="A205" s="23"/>
      <c r="B205" s="23"/>
      <c r="C205" s="23" t="s">
        <v>375</v>
      </c>
      <c r="D205" s="24"/>
      <c r="E205" s="10"/>
      <c r="F205" s="26">
        <f>Source!AL89</f>
        <v>422.8</v>
      </c>
      <c r="G205" s="25" t="str">
        <f>Source!DD89</f>
        <v/>
      </c>
      <c r="H205" s="10">
        <f>Source!AW89</f>
        <v>1.081</v>
      </c>
      <c r="I205" s="26">
        <f>ROUND((Source!AC89*Source!AW89)*Source!I89, 2)</f>
        <v>9.14</v>
      </c>
      <c r="J205" s="10">
        <f>IF(Source!BC89&lt;&gt; 0, Source!BC89, 1)</f>
        <v>8.24</v>
      </c>
      <c r="K205" s="26">
        <f>Source!P89</f>
        <v>75.319999999999993</v>
      </c>
    </row>
    <row r="206" spans="1:27" ht="28.5" x14ac:dyDescent="0.2">
      <c r="A206" s="23" t="s">
        <v>203</v>
      </c>
      <c r="B206" s="23" t="str">
        <f>Source!F90</f>
        <v>1.1-1-1090</v>
      </c>
      <c r="C206" s="23" t="s">
        <v>197</v>
      </c>
      <c r="D206" s="24" t="str">
        <f>Source!H90</f>
        <v>т</v>
      </c>
      <c r="E206" s="10">
        <f>Source!I90</f>
        <v>3.14E-3</v>
      </c>
      <c r="F206" s="26">
        <f>Source!AK90</f>
        <v>6500.22</v>
      </c>
      <c r="G206" s="32" t="s">
        <v>3</v>
      </c>
      <c r="H206" s="10">
        <f>Source!AW90</f>
        <v>1.081</v>
      </c>
      <c r="I206" s="26">
        <f>ROUND((Source!AC90*Source!AW90)*Source!I90, 2)+ROUND((Source!AD90*Source!AV90)*Source!I90, 2)+ROUND((Source!AF90*Source!AV90)*Source!I90, 2)</f>
        <v>22.06</v>
      </c>
      <c r="J206" s="10">
        <f>IF(Source!BC90&lt;&gt; 0, Source!BC90, 1)</f>
        <v>4.4400000000000004</v>
      </c>
      <c r="K206" s="26">
        <f>Source!O90</f>
        <v>97.96</v>
      </c>
      <c r="Q206">
        <f>ROUND((Source!DN90/100)*ROUND((Source!AF90*Source!AV90)*Source!I90, 2), 2)</f>
        <v>0</v>
      </c>
      <c r="R206">
        <f>Source!X90</f>
        <v>0</v>
      </c>
      <c r="S206">
        <f>ROUND((Source!DO90/100)*ROUND((Source!AF90*Source!AV90)*Source!I90, 2), 2)</f>
        <v>0</v>
      </c>
      <c r="T206">
        <f>Source!Y90</f>
        <v>0</v>
      </c>
      <c r="U206">
        <f>ROUND((175/100)*ROUND((Source!AE90*Source!AV90)*Source!I90, 2), 2)</f>
        <v>0</v>
      </c>
      <c r="V206">
        <f>ROUND((160/100)*ROUND(Source!CS90*Source!I90, 2), 2)</f>
        <v>0</v>
      </c>
      <c r="X206">
        <f>IF(Source!BI90&lt;=1,I206, 0)</f>
        <v>0</v>
      </c>
      <c r="Y206">
        <f>IF(Source!BI90=2,I206, 0)</f>
        <v>22.06</v>
      </c>
      <c r="Z206">
        <f>IF(Source!BI90=3,I206, 0)</f>
        <v>0</v>
      </c>
      <c r="AA206">
        <f>IF(Source!BI90=4,I206, 0)</f>
        <v>0</v>
      </c>
    </row>
    <row r="207" spans="1:27" ht="14.25" x14ac:dyDescent="0.2">
      <c r="A207" s="23"/>
      <c r="B207" s="23"/>
      <c r="C207" s="23" t="s">
        <v>364</v>
      </c>
      <c r="D207" s="24" t="s">
        <v>365</v>
      </c>
      <c r="E207" s="10">
        <f>Source!DN89</f>
        <v>112</v>
      </c>
      <c r="F207" s="26"/>
      <c r="G207" s="25"/>
      <c r="H207" s="10"/>
      <c r="I207" s="26">
        <f>SUM(Q201:Q206)</f>
        <v>5.45</v>
      </c>
      <c r="J207" s="10">
        <f>Source!BZ89</f>
        <v>92</v>
      </c>
      <c r="K207" s="26">
        <f>SUM(R201:R206)</f>
        <v>128.4</v>
      </c>
    </row>
    <row r="208" spans="1:27" ht="14.25" x14ac:dyDescent="0.2">
      <c r="A208" s="23"/>
      <c r="B208" s="23"/>
      <c r="C208" s="23" t="s">
        <v>366</v>
      </c>
      <c r="D208" s="24" t="s">
        <v>365</v>
      </c>
      <c r="E208" s="10">
        <f>Source!DO89</f>
        <v>70</v>
      </c>
      <c r="F208" s="26"/>
      <c r="G208" s="25"/>
      <c r="H208" s="10"/>
      <c r="I208" s="26">
        <f>SUM(S201:S207)</f>
        <v>3.41</v>
      </c>
      <c r="J208" s="10">
        <f>Source!CA89</f>
        <v>43</v>
      </c>
      <c r="K208" s="26">
        <f>SUM(T201:T207)</f>
        <v>60.01</v>
      </c>
    </row>
    <row r="209" spans="1:27" ht="14.25" x14ac:dyDescent="0.2">
      <c r="A209" s="23"/>
      <c r="B209" s="23"/>
      <c r="C209" s="23" t="s">
        <v>367</v>
      </c>
      <c r="D209" s="24" t="s">
        <v>365</v>
      </c>
      <c r="E209" s="10">
        <f>175</f>
        <v>175</v>
      </c>
      <c r="F209" s="26"/>
      <c r="G209" s="25"/>
      <c r="H209" s="10"/>
      <c r="I209" s="26">
        <f>SUM(U201:U208)</f>
        <v>0.46</v>
      </c>
      <c r="J209" s="10">
        <f>160</f>
        <v>160</v>
      </c>
      <c r="K209" s="26">
        <f>SUM(V201:V208)</f>
        <v>12.03</v>
      </c>
    </row>
    <row r="210" spans="1:27" ht="14.25" x14ac:dyDescent="0.2">
      <c r="A210" s="23"/>
      <c r="B210" s="23"/>
      <c r="C210" s="23" t="s">
        <v>368</v>
      </c>
      <c r="D210" s="24" t="s">
        <v>369</v>
      </c>
      <c r="E210" s="10">
        <f>Source!AQ89</f>
        <v>18.5</v>
      </c>
      <c r="F210" s="26"/>
      <c r="G210" s="25" t="str">
        <f>Source!DI89</f>
        <v/>
      </c>
      <c r="H210" s="10">
        <f>Source!AV89</f>
        <v>1.0669999999999999</v>
      </c>
      <c r="I210" s="26">
        <f>Source!U89</f>
        <v>0.39478999999999997</v>
      </c>
      <c r="J210" s="10"/>
      <c r="K210" s="26"/>
    </row>
    <row r="211" spans="1:27" ht="15" x14ac:dyDescent="0.25">
      <c r="A211" s="29"/>
      <c r="B211" s="29"/>
      <c r="C211" s="29"/>
      <c r="D211" s="29"/>
      <c r="E211" s="29"/>
      <c r="F211" s="29"/>
      <c r="G211" s="29"/>
      <c r="H211" s="41">
        <f>I202+I203+I205+I207+I208+I209+SUM(I206:I206)</f>
        <v>48.489999999999995</v>
      </c>
      <c r="I211" s="41"/>
      <c r="J211" s="41">
        <f>K202+K203+K205+K207+K208+K209+SUM(K206:K206)</f>
        <v>542.03</v>
      </c>
      <c r="K211" s="41"/>
      <c r="O211" s="28">
        <f>I202+I203+I205+I207+I208+I209+SUM(I206:I206)</f>
        <v>48.489999999999995</v>
      </c>
      <c r="P211" s="28">
        <f>K202+K203+K205+K207+K208+K209+SUM(K206:K206)</f>
        <v>542.03</v>
      </c>
      <c r="X211">
        <f>IF(Source!BI89&lt;=1,I202+I203+I205+I207+I208+I209-0, 0)</f>
        <v>0</v>
      </c>
      <c r="Y211">
        <f>IF(Source!BI89=2,I202+I203+I205+I207+I208+I209-0, 0)</f>
        <v>26.43</v>
      </c>
      <c r="Z211">
        <f>IF(Source!BI89=3,I202+I203+I205+I207+I208+I209-0, 0)</f>
        <v>0</v>
      </c>
      <c r="AA211">
        <f>IF(Source!BI89=4,I202+I203+I205+I207+I208+I209,0)</f>
        <v>0</v>
      </c>
    </row>
    <row r="213" spans="1:27" ht="15" x14ac:dyDescent="0.25">
      <c r="A213" s="40" t="str">
        <f>CONCATENATE("Итого по разделу: ",IF(Source!G92&lt;&gt;"Новый раздел", Source!G92, ""))</f>
        <v>Итого по разделу: Строительно-монтажные работы</v>
      </c>
      <c r="B213" s="40"/>
      <c r="C213" s="40"/>
      <c r="D213" s="40"/>
      <c r="E213" s="40"/>
      <c r="F213" s="40"/>
      <c r="G213" s="40"/>
      <c r="H213" s="38">
        <f>SUM(O88:O212)</f>
        <v>10168.83</v>
      </c>
      <c r="I213" s="39"/>
      <c r="J213" s="38">
        <f>SUM(P88:P212)</f>
        <v>159935.55000000002</v>
      </c>
      <c r="K213" s="39"/>
    </row>
    <row r="214" spans="1:27" hidden="1" x14ac:dyDescent="0.2">
      <c r="A214" t="s">
        <v>373</v>
      </c>
      <c r="H214">
        <f>SUM(AC88:AC213)</f>
        <v>0</v>
      </c>
      <c r="J214">
        <f>SUM(AD88:AD213)</f>
        <v>0</v>
      </c>
    </row>
    <row r="215" spans="1:27" hidden="1" x14ac:dyDescent="0.2">
      <c r="A215" t="s">
        <v>374</v>
      </c>
      <c r="H215">
        <f>SUM(AE88:AE214)</f>
        <v>0</v>
      </c>
      <c r="J215">
        <f>SUM(AF88:AF214)</f>
        <v>0</v>
      </c>
    </row>
    <row r="217" spans="1:27" ht="16.5" x14ac:dyDescent="0.25">
      <c r="A217" s="42" t="str">
        <f>CONCATENATE("Раздел: ",IF(Source!G122&lt;&gt;"Новый раздел", Source!G122, ""))</f>
        <v>Раздел: Стоимость оборудования</v>
      </c>
      <c r="B217" s="42"/>
      <c r="C217" s="42"/>
      <c r="D217" s="42"/>
      <c r="E217" s="42"/>
      <c r="F217" s="42"/>
      <c r="G217" s="42"/>
      <c r="H217" s="42"/>
      <c r="I217" s="42"/>
      <c r="J217" s="42"/>
      <c r="K217" s="42"/>
    </row>
    <row r="218" spans="1:27" ht="54" x14ac:dyDescent="0.2">
      <c r="A218" s="23">
        <v>19</v>
      </c>
      <c r="B218" s="23" t="str">
        <f>Source!F126</f>
        <v>Цена поставщика</v>
      </c>
      <c r="C218" s="23" t="s">
        <v>376</v>
      </c>
      <c r="D218" s="24" t="str">
        <f>Source!H126</f>
        <v>шт.</v>
      </c>
      <c r="E218" s="10">
        <f>Source!I126</f>
        <v>1</v>
      </c>
      <c r="F218" s="26">
        <f>Source!AL126</f>
        <v>319812.71000000002</v>
      </c>
      <c r="G218" s="25" t="str">
        <f>Source!DD126</f>
        <v/>
      </c>
      <c r="H218" s="10">
        <f>Source!AW126</f>
        <v>1</v>
      </c>
      <c r="I218" s="26">
        <f>ROUND((Source!AC126*Source!AW126)*Source!I126, 2)</f>
        <v>319812.71000000002</v>
      </c>
      <c r="J218" s="10">
        <f>IF(Source!BC126&lt;&gt; 0, Source!BC126, 1)</f>
        <v>6.19</v>
      </c>
      <c r="K218" s="26">
        <f>Source!P126</f>
        <v>1979640.67</v>
      </c>
      <c r="Q218">
        <f>ROUND((Source!DN126/100)*ROUND((Source!AF126*Source!AV126)*Source!I126, 2), 2)</f>
        <v>0</v>
      </c>
      <c r="R218">
        <f>Source!X126</f>
        <v>0</v>
      </c>
      <c r="S218">
        <f>ROUND((Source!DO126/100)*ROUND((Source!AF126*Source!AV126)*Source!I126, 2), 2)</f>
        <v>0</v>
      </c>
      <c r="T218">
        <f>Source!Y126</f>
        <v>0</v>
      </c>
      <c r="U218">
        <f>ROUND((175/100)*ROUND((Source!AE126*Source!AV126)*Source!I126, 2), 2)</f>
        <v>0</v>
      </c>
      <c r="V218">
        <f>ROUND((160/100)*ROUND(Source!CS126*Source!I126, 2), 2)</f>
        <v>0</v>
      </c>
    </row>
    <row r="219" spans="1:27" ht="15" x14ac:dyDescent="0.25">
      <c r="A219" s="29"/>
      <c r="B219" s="29"/>
      <c r="C219" s="29"/>
      <c r="D219" s="29"/>
      <c r="E219" s="29"/>
      <c r="F219" s="29"/>
      <c r="G219" s="29"/>
      <c r="H219" s="41">
        <f>I218</f>
        <v>319812.71000000002</v>
      </c>
      <c r="I219" s="41"/>
      <c r="J219" s="41">
        <f>K218</f>
        <v>1979640.67</v>
      </c>
      <c r="K219" s="41"/>
      <c r="O219" s="28">
        <f>I218</f>
        <v>319812.71000000002</v>
      </c>
      <c r="P219" s="28">
        <f>K218</f>
        <v>1979640.67</v>
      </c>
      <c r="X219">
        <f>IF(Source!BI126&lt;=1,I218-0, 0)</f>
        <v>0</v>
      </c>
      <c r="Y219">
        <f>IF(Source!BI126=2,I218-0, 0)</f>
        <v>0</v>
      </c>
      <c r="Z219">
        <f>IF(Source!BI126=3,I218-0, 0)</f>
        <v>319812.71000000002</v>
      </c>
      <c r="AA219">
        <f>IF(Source!BI126=4,I218,0)</f>
        <v>0</v>
      </c>
    </row>
    <row r="220" spans="1:27" ht="42.75" x14ac:dyDescent="0.2">
      <c r="A220" s="23">
        <v>20</v>
      </c>
      <c r="B220" s="23" t="str">
        <f>Source!F127</f>
        <v>Цена поставщика</v>
      </c>
      <c r="C220" s="23" t="s">
        <v>377</v>
      </c>
      <c r="D220" s="24" t="str">
        <f>Source!H127</f>
        <v>шт.</v>
      </c>
      <c r="E220" s="10">
        <f>Source!I127</f>
        <v>1</v>
      </c>
      <c r="F220" s="26">
        <f>Source!AL127</f>
        <v>93793.919999999998</v>
      </c>
      <c r="G220" s="25" t="str">
        <f>Source!DD127</f>
        <v/>
      </c>
      <c r="H220" s="10">
        <f>Source!AW127</f>
        <v>1</v>
      </c>
      <c r="I220" s="26">
        <f>ROUND((Source!AC127*Source!AW127)*Source!I127, 2)</f>
        <v>93793.919999999998</v>
      </c>
      <c r="J220" s="10">
        <f>IF(Source!BC127&lt;&gt; 0, Source!BC127, 1)</f>
        <v>6.19</v>
      </c>
      <c r="K220" s="26">
        <f>Source!P127</f>
        <v>580584.36</v>
      </c>
      <c r="Q220">
        <f>ROUND((Source!DN127/100)*ROUND((Source!AF127*Source!AV127)*Source!I127, 2), 2)</f>
        <v>0</v>
      </c>
      <c r="R220">
        <f>Source!X127</f>
        <v>0</v>
      </c>
      <c r="S220">
        <f>ROUND((Source!DO127/100)*ROUND((Source!AF127*Source!AV127)*Source!I127, 2), 2)</f>
        <v>0</v>
      </c>
      <c r="T220">
        <f>Source!Y127</f>
        <v>0</v>
      </c>
      <c r="U220">
        <f>ROUND((175/100)*ROUND((Source!AE127*Source!AV127)*Source!I127, 2), 2)</f>
        <v>0</v>
      </c>
      <c r="V220">
        <f>ROUND((160/100)*ROUND(Source!CS127*Source!I127, 2), 2)</f>
        <v>0</v>
      </c>
    </row>
    <row r="221" spans="1:27" ht="15" x14ac:dyDescent="0.25">
      <c r="A221" s="29"/>
      <c r="B221" s="29"/>
      <c r="C221" s="29"/>
      <c r="D221" s="29"/>
      <c r="E221" s="29"/>
      <c r="F221" s="29"/>
      <c r="G221" s="29"/>
      <c r="H221" s="41">
        <f>I220</f>
        <v>93793.919999999998</v>
      </c>
      <c r="I221" s="41"/>
      <c r="J221" s="41">
        <f>K220</f>
        <v>580584.36</v>
      </c>
      <c r="K221" s="41"/>
      <c r="O221" s="28">
        <f>I220</f>
        <v>93793.919999999998</v>
      </c>
      <c r="P221" s="28">
        <f>K220</f>
        <v>580584.36</v>
      </c>
      <c r="X221">
        <f>IF(Source!BI127&lt;=1,I220-0, 0)</f>
        <v>0</v>
      </c>
      <c r="Y221">
        <f>IF(Source!BI127=2,I220-0, 0)</f>
        <v>0</v>
      </c>
      <c r="Z221">
        <f>IF(Source!BI127=3,I220-0, 0)</f>
        <v>93793.919999999998</v>
      </c>
      <c r="AA221">
        <f>IF(Source!BI127=4,I220,0)</f>
        <v>0</v>
      </c>
    </row>
    <row r="223" spans="1:27" ht="15" x14ac:dyDescent="0.25">
      <c r="A223" s="40" t="str">
        <f>CONCATENATE("Итого по разделу: ",IF(Source!G129&lt;&gt;"Новый раздел", Source!G129, ""))</f>
        <v>Итого по разделу: Стоимость оборудования</v>
      </c>
      <c r="B223" s="40"/>
      <c r="C223" s="40"/>
      <c r="D223" s="40"/>
      <c r="E223" s="40"/>
      <c r="F223" s="40"/>
      <c r="G223" s="40"/>
      <c r="H223" s="38">
        <f>SUM(O217:O222)</f>
        <v>413606.63</v>
      </c>
      <c r="I223" s="39"/>
      <c r="J223" s="38">
        <f>SUM(P217:P222)</f>
        <v>2560225.0299999998</v>
      </c>
      <c r="K223" s="39"/>
    </row>
    <row r="224" spans="1:27" hidden="1" x14ac:dyDescent="0.2">
      <c r="A224" t="s">
        <v>373</v>
      </c>
      <c r="H224">
        <f>SUM(AC217:AC223)</f>
        <v>0</v>
      </c>
      <c r="J224">
        <f>SUM(AD217:AD223)</f>
        <v>0</v>
      </c>
    </row>
    <row r="225" spans="1:27" hidden="1" x14ac:dyDescent="0.2">
      <c r="A225" t="s">
        <v>374</v>
      </c>
      <c r="H225">
        <f>SUM(AE217:AE224)</f>
        <v>0</v>
      </c>
      <c r="J225">
        <f>SUM(AF217:AF224)</f>
        <v>0</v>
      </c>
    </row>
    <row r="227" spans="1:27" ht="16.5" x14ac:dyDescent="0.25">
      <c r="A227" s="42" t="str">
        <f>CONCATENATE("Раздел: ",IF(Source!G159&lt;&gt;"Новый раздел", Source!G159, ""))</f>
        <v>Раздел: Пусконаладочные работы</v>
      </c>
      <c r="B227" s="42"/>
      <c r="C227" s="42"/>
      <c r="D227" s="42"/>
      <c r="E227" s="42"/>
      <c r="F227" s="42"/>
      <c r="G227" s="42"/>
      <c r="H227" s="42"/>
      <c r="I227" s="42"/>
      <c r="J227" s="42"/>
      <c r="K227" s="42"/>
    </row>
    <row r="228" spans="1:27" ht="42.75" x14ac:dyDescent="0.2">
      <c r="A228" s="23">
        <v>21</v>
      </c>
      <c r="B228" s="23" t="str">
        <f>Source!F163</f>
        <v>5.1-11-2</v>
      </c>
      <c r="C228" s="23" t="s">
        <v>221</v>
      </c>
      <c r="D228" s="24" t="str">
        <f>Source!H163</f>
        <v>1  ШТ.</v>
      </c>
      <c r="E228" s="10">
        <f>Source!I163</f>
        <v>1</v>
      </c>
      <c r="F228" s="26"/>
      <c r="G228" s="25"/>
      <c r="H228" s="10"/>
      <c r="I228" s="26"/>
      <c r="J228" s="10"/>
      <c r="K228" s="26"/>
      <c r="Q228">
        <f>ROUND((Source!DN163/100)*ROUND((Source!AF163*Source!AV163)*Source!I163, 2), 2)</f>
        <v>131.33000000000001</v>
      </c>
      <c r="R228">
        <f>Source!X163</f>
        <v>3514.28</v>
      </c>
      <c r="S228">
        <f>ROUND((Source!DO163/100)*ROUND((Source!AF163*Source!AV163)*Source!I163, 2), 2)</f>
        <v>122.58</v>
      </c>
      <c r="T228">
        <f>Source!Y163</f>
        <v>2058.36</v>
      </c>
      <c r="U228">
        <f>ROUND((175/100)*ROUND((Source!AE163*Source!AV163)*Source!I163, 2), 2)</f>
        <v>0</v>
      </c>
      <c r="V228">
        <f>ROUND((160/100)*ROUND(Source!CS163*Source!I163, 2), 2)</f>
        <v>0</v>
      </c>
    </row>
    <row r="229" spans="1:27" ht="14.25" x14ac:dyDescent="0.2">
      <c r="A229" s="23"/>
      <c r="B229" s="23"/>
      <c r="C229" s="23" t="s">
        <v>361</v>
      </c>
      <c r="D229" s="24"/>
      <c r="E229" s="10"/>
      <c r="F229" s="26">
        <f>Source!AO163</f>
        <v>175.11</v>
      </c>
      <c r="G229" s="25" t="str">
        <f>Source!DG163</f>
        <v/>
      </c>
      <c r="H229" s="10">
        <f>Source!AV163</f>
        <v>1</v>
      </c>
      <c r="I229" s="26">
        <f>ROUND((Source!AF163*Source!AV163)*Source!I163, 2)</f>
        <v>175.11</v>
      </c>
      <c r="J229" s="10">
        <f>IF(Source!BA163&lt;&gt; 0, Source!BA163, 1)</f>
        <v>28.67</v>
      </c>
      <c r="K229" s="26">
        <f>Source!S163</f>
        <v>5020.3999999999996</v>
      </c>
      <c r="W229">
        <f>I229</f>
        <v>175.11</v>
      </c>
    </row>
    <row r="230" spans="1:27" ht="14.25" x14ac:dyDescent="0.2">
      <c r="A230" s="23"/>
      <c r="B230" s="23"/>
      <c r="C230" s="23" t="s">
        <v>364</v>
      </c>
      <c r="D230" s="24" t="s">
        <v>365</v>
      </c>
      <c r="E230" s="10">
        <f>Source!DN163</f>
        <v>75</v>
      </c>
      <c r="F230" s="26"/>
      <c r="G230" s="25"/>
      <c r="H230" s="10"/>
      <c r="I230" s="26">
        <f>SUM(Q228:Q229)</f>
        <v>131.33000000000001</v>
      </c>
      <c r="J230" s="10">
        <f>Source!BZ163</f>
        <v>70</v>
      </c>
      <c r="K230" s="26">
        <f>SUM(R228:R229)</f>
        <v>3514.28</v>
      </c>
    </row>
    <row r="231" spans="1:27" ht="14.25" x14ac:dyDescent="0.2">
      <c r="A231" s="23"/>
      <c r="B231" s="23"/>
      <c r="C231" s="23" t="s">
        <v>366</v>
      </c>
      <c r="D231" s="24" t="s">
        <v>365</v>
      </c>
      <c r="E231" s="10">
        <f>Source!DO163</f>
        <v>70</v>
      </c>
      <c r="F231" s="26"/>
      <c r="G231" s="25"/>
      <c r="H231" s="10"/>
      <c r="I231" s="26">
        <f>SUM(S228:S230)</f>
        <v>122.58</v>
      </c>
      <c r="J231" s="10">
        <f>Source!CA163</f>
        <v>41</v>
      </c>
      <c r="K231" s="26">
        <f>SUM(T228:T230)</f>
        <v>2058.36</v>
      </c>
    </row>
    <row r="232" spans="1:27" ht="14.25" x14ac:dyDescent="0.2">
      <c r="A232" s="23"/>
      <c r="B232" s="23"/>
      <c r="C232" s="23" t="s">
        <v>368</v>
      </c>
      <c r="D232" s="24" t="s">
        <v>369</v>
      </c>
      <c r="E232" s="10">
        <f>Source!AQ163</f>
        <v>11</v>
      </c>
      <c r="F232" s="26"/>
      <c r="G232" s="25" t="str">
        <f>Source!DI163</f>
        <v/>
      </c>
      <c r="H232" s="10">
        <f>Source!AV163</f>
        <v>1</v>
      </c>
      <c r="I232" s="26">
        <f>Source!U163</f>
        <v>11</v>
      </c>
      <c r="J232" s="10"/>
      <c r="K232" s="26"/>
    </row>
    <row r="233" spans="1:27" ht="15" x14ac:dyDescent="0.25">
      <c r="A233" s="29"/>
      <c r="B233" s="29"/>
      <c r="C233" s="29"/>
      <c r="D233" s="29"/>
      <c r="E233" s="29"/>
      <c r="F233" s="29"/>
      <c r="G233" s="29"/>
      <c r="H233" s="41">
        <f>I229+I230+I231</f>
        <v>429.02000000000004</v>
      </c>
      <c r="I233" s="41"/>
      <c r="J233" s="41">
        <f>K229+K230+K231</f>
        <v>10593.04</v>
      </c>
      <c r="K233" s="41"/>
      <c r="O233" s="28">
        <f>I229+I230+I231</f>
        <v>429.02000000000004</v>
      </c>
      <c r="P233" s="28">
        <f>K229+K230+K231</f>
        <v>10593.04</v>
      </c>
      <c r="X233">
        <f>IF(Source!BI163&lt;=1,I229+I230+I231-0, 0)</f>
        <v>0</v>
      </c>
      <c r="Y233">
        <f>IF(Source!BI163=2,I229+I230+I231-0, 0)</f>
        <v>0</v>
      </c>
      <c r="Z233">
        <f>IF(Source!BI163=3,I229+I230+I231-0, 0)</f>
        <v>0</v>
      </c>
      <c r="AA233">
        <f>IF(Source!BI163=4,I229+I230+I231,0)</f>
        <v>429.02000000000004</v>
      </c>
    </row>
    <row r="234" spans="1:27" ht="28.5" x14ac:dyDescent="0.2">
      <c r="A234" s="23">
        <v>22</v>
      </c>
      <c r="B234" s="23" t="str">
        <f>Source!F164</f>
        <v>5.1-17-1</v>
      </c>
      <c r="C234" s="23" t="s">
        <v>227</v>
      </c>
      <c r="D234" s="24" t="str">
        <f>Source!H164</f>
        <v>1  ШТ.</v>
      </c>
      <c r="E234" s="10">
        <f>Source!I164</f>
        <v>6</v>
      </c>
      <c r="F234" s="26"/>
      <c r="G234" s="25"/>
      <c r="H234" s="10"/>
      <c r="I234" s="26"/>
      <c r="J234" s="10"/>
      <c r="K234" s="26"/>
      <c r="Q234">
        <f>ROUND((Source!DN164/100)*ROUND((Source!AF164*Source!AV164)*Source!I164, 2), 2)</f>
        <v>84.15</v>
      </c>
      <c r="R234">
        <f>Source!X164</f>
        <v>2251.7399999999998</v>
      </c>
      <c r="S234">
        <f>ROUND((Source!DO164/100)*ROUND((Source!AF164*Source!AV164)*Source!I164, 2), 2)</f>
        <v>78.540000000000006</v>
      </c>
      <c r="T234">
        <f>Source!Y164</f>
        <v>1318.88</v>
      </c>
      <c r="U234">
        <f>ROUND((175/100)*ROUND((Source!AE164*Source!AV164)*Source!I164, 2), 2)</f>
        <v>0</v>
      </c>
      <c r="V234">
        <f>ROUND((160/100)*ROUND(Source!CS164*Source!I164, 2), 2)</f>
        <v>0</v>
      </c>
    </row>
    <row r="235" spans="1:27" ht="14.25" x14ac:dyDescent="0.2">
      <c r="A235" s="23"/>
      <c r="B235" s="23"/>
      <c r="C235" s="23" t="s">
        <v>361</v>
      </c>
      <c r="D235" s="24"/>
      <c r="E235" s="10"/>
      <c r="F235" s="26">
        <f>Source!AO164</f>
        <v>18.7</v>
      </c>
      <c r="G235" s="25" t="str">
        <f>Source!DG164</f>
        <v/>
      </c>
      <c r="H235" s="10">
        <f>Source!AV164</f>
        <v>1</v>
      </c>
      <c r="I235" s="26">
        <f>ROUND((Source!AF164*Source!AV164)*Source!I164, 2)</f>
        <v>112.2</v>
      </c>
      <c r="J235" s="10">
        <f>IF(Source!BA164&lt;&gt; 0, Source!BA164, 1)</f>
        <v>28.67</v>
      </c>
      <c r="K235" s="26">
        <f>Source!S164</f>
        <v>3216.77</v>
      </c>
      <c r="W235">
        <f>I235</f>
        <v>112.2</v>
      </c>
    </row>
    <row r="236" spans="1:27" ht="14.25" x14ac:dyDescent="0.2">
      <c r="A236" s="23"/>
      <c r="B236" s="23"/>
      <c r="C236" s="23" t="s">
        <v>364</v>
      </c>
      <c r="D236" s="24" t="s">
        <v>365</v>
      </c>
      <c r="E236" s="10">
        <f>Source!DN164</f>
        <v>75</v>
      </c>
      <c r="F236" s="26"/>
      <c r="G236" s="25"/>
      <c r="H236" s="10"/>
      <c r="I236" s="26">
        <f>SUM(Q234:Q235)</f>
        <v>84.15</v>
      </c>
      <c r="J236" s="10">
        <f>Source!BZ164</f>
        <v>70</v>
      </c>
      <c r="K236" s="26">
        <f>SUM(R234:R235)</f>
        <v>2251.7399999999998</v>
      </c>
    </row>
    <row r="237" spans="1:27" ht="14.25" x14ac:dyDescent="0.2">
      <c r="A237" s="23"/>
      <c r="B237" s="23"/>
      <c r="C237" s="23" t="s">
        <v>366</v>
      </c>
      <c r="D237" s="24" t="s">
        <v>365</v>
      </c>
      <c r="E237" s="10">
        <f>Source!DO164</f>
        <v>70</v>
      </c>
      <c r="F237" s="26"/>
      <c r="G237" s="25"/>
      <c r="H237" s="10"/>
      <c r="I237" s="26">
        <f>SUM(S234:S236)</f>
        <v>78.540000000000006</v>
      </c>
      <c r="J237" s="10">
        <f>Source!CA164</f>
        <v>41</v>
      </c>
      <c r="K237" s="26">
        <f>SUM(T234:T236)</f>
        <v>1318.88</v>
      </c>
    </row>
    <row r="238" spans="1:27" ht="14.25" x14ac:dyDescent="0.2">
      <c r="A238" s="23"/>
      <c r="B238" s="23"/>
      <c r="C238" s="23" t="s">
        <v>368</v>
      </c>
      <c r="D238" s="24" t="s">
        <v>369</v>
      </c>
      <c r="E238" s="10">
        <f>Source!AQ164</f>
        <v>1.3</v>
      </c>
      <c r="F238" s="26"/>
      <c r="G238" s="25" t="str">
        <f>Source!DI164</f>
        <v/>
      </c>
      <c r="H238" s="10">
        <f>Source!AV164</f>
        <v>1</v>
      </c>
      <c r="I238" s="26">
        <f>Source!U164</f>
        <v>7.8000000000000007</v>
      </c>
      <c r="J238" s="10"/>
      <c r="K238" s="26"/>
    </row>
    <row r="239" spans="1:27" ht="15" x14ac:dyDescent="0.25">
      <c r="A239" s="29"/>
      <c r="B239" s="29"/>
      <c r="C239" s="29"/>
      <c r="D239" s="29"/>
      <c r="E239" s="29"/>
      <c r="F239" s="29"/>
      <c r="G239" s="29"/>
      <c r="H239" s="41">
        <f>I235+I236+I237</f>
        <v>274.89000000000004</v>
      </c>
      <c r="I239" s="41"/>
      <c r="J239" s="41">
        <f>K235+K236+K237</f>
        <v>6787.39</v>
      </c>
      <c r="K239" s="41"/>
      <c r="O239" s="28">
        <f>I235+I236+I237</f>
        <v>274.89000000000004</v>
      </c>
      <c r="P239" s="28">
        <f>K235+K236+K237</f>
        <v>6787.39</v>
      </c>
      <c r="X239">
        <f>IF(Source!BI164&lt;=1,I235+I236+I237-0, 0)</f>
        <v>0</v>
      </c>
      <c r="Y239">
        <f>IF(Source!BI164=2,I235+I236+I237-0, 0)</f>
        <v>0</v>
      </c>
      <c r="Z239">
        <f>IF(Source!BI164=3,I235+I236+I237-0, 0)</f>
        <v>0</v>
      </c>
      <c r="AA239">
        <f>IF(Source!BI164=4,I235+I236+I237,0)</f>
        <v>274.89000000000004</v>
      </c>
    </row>
    <row r="240" spans="1:27" ht="28.5" x14ac:dyDescent="0.2">
      <c r="A240" s="23">
        <v>23</v>
      </c>
      <c r="B240" s="23" t="str">
        <f>Source!F165</f>
        <v>5.1-17-2</v>
      </c>
      <c r="C240" s="23" t="s">
        <v>231</v>
      </c>
      <c r="D240" s="24" t="str">
        <f>Source!H165</f>
        <v>1  ШТ.</v>
      </c>
      <c r="E240" s="10">
        <f>Source!I165</f>
        <v>4</v>
      </c>
      <c r="F240" s="26"/>
      <c r="G240" s="25"/>
      <c r="H240" s="10"/>
      <c r="I240" s="26"/>
      <c r="J240" s="10"/>
      <c r="K240" s="26"/>
      <c r="Q240">
        <f>ROUND((Source!DN165/100)*ROUND((Source!AF165*Source!AV165)*Source!I165, 2), 2)</f>
        <v>194.25</v>
      </c>
      <c r="R240">
        <f>Source!X165</f>
        <v>5197.87</v>
      </c>
      <c r="S240">
        <f>ROUND((Source!DO165/100)*ROUND((Source!AF165*Source!AV165)*Source!I165, 2), 2)</f>
        <v>181.3</v>
      </c>
      <c r="T240">
        <f>Source!Y165</f>
        <v>3044.47</v>
      </c>
      <c r="U240">
        <f>ROUND((175/100)*ROUND((Source!AE165*Source!AV165)*Source!I165, 2), 2)</f>
        <v>0</v>
      </c>
      <c r="V240">
        <f>ROUND((160/100)*ROUND(Source!CS165*Source!I165, 2), 2)</f>
        <v>0</v>
      </c>
    </row>
    <row r="241" spans="1:27" ht="14.25" x14ac:dyDescent="0.2">
      <c r="A241" s="23"/>
      <c r="B241" s="23"/>
      <c r="C241" s="23" t="s">
        <v>361</v>
      </c>
      <c r="D241" s="24"/>
      <c r="E241" s="10"/>
      <c r="F241" s="26">
        <f>Source!AO165</f>
        <v>64.75</v>
      </c>
      <c r="G241" s="25" t="str">
        <f>Source!DG165</f>
        <v/>
      </c>
      <c r="H241" s="10">
        <f>Source!AV165</f>
        <v>1</v>
      </c>
      <c r="I241" s="26">
        <f>ROUND((Source!AF165*Source!AV165)*Source!I165, 2)</f>
        <v>259</v>
      </c>
      <c r="J241" s="10">
        <f>IF(Source!BA165&lt;&gt; 0, Source!BA165, 1)</f>
        <v>28.67</v>
      </c>
      <c r="K241" s="26">
        <f>Source!S165</f>
        <v>7425.53</v>
      </c>
      <c r="W241">
        <f>I241</f>
        <v>259</v>
      </c>
    </row>
    <row r="242" spans="1:27" ht="14.25" x14ac:dyDescent="0.2">
      <c r="A242" s="23"/>
      <c r="B242" s="23"/>
      <c r="C242" s="23" t="s">
        <v>364</v>
      </c>
      <c r="D242" s="24" t="s">
        <v>365</v>
      </c>
      <c r="E242" s="10">
        <f>Source!DN165</f>
        <v>75</v>
      </c>
      <c r="F242" s="26"/>
      <c r="G242" s="25"/>
      <c r="H242" s="10"/>
      <c r="I242" s="26">
        <f>SUM(Q240:Q241)</f>
        <v>194.25</v>
      </c>
      <c r="J242" s="10">
        <f>Source!BZ165</f>
        <v>70</v>
      </c>
      <c r="K242" s="26">
        <f>SUM(R240:R241)</f>
        <v>5197.87</v>
      </c>
    </row>
    <row r="243" spans="1:27" ht="14.25" x14ac:dyDescent="0.2">
      <c r="A243" s="23"/>
      <c r="B243" s="23"/>
      <c r="C243" s="23" t="s">
        <v>366</v>
      </c>
      <c r="D243" s="24" t="s">
        <v>365</v>
      </c>
      <c r="E243" s="10">
        <f>Source!DO165</f>
        <v>70</v>
      </c>
      <c r="F243" s="26"/>
      <c r="G243" s="25"/>
      <c r="H243" s="10"/>
      <c r="I243" s="26">
        <f>SUM(S240:S242)</f>
        <v>181.3</v>
      </c>
      <c r="J243" s="10">
        <f>Source!CA165</f>
        <v>41</v>
      </c>
      <c r="K243" s="26">
        <f>SUM(T240:T242)</f>
        <v>3044.47</v>
      </c>
    </row>
    <row r="244" spans="1:27" ht="14.25" x14ac:dyDescent="0.2">
      <c r="A244" s="23"/>
      <c r="B244" s="23"/>
      <c r="C244" s="23" t="s">
        <v>368</v>
      </c>
      <c r="D244" s="24" t="s">
        <v>369</v>
      </c>
      <c r="E244" s="10">
        <f>Source!AQ165</f>
        <v>4.5</v>
      </c>
      <c r="F244" s="26"/>
      <c r="G244" s="25" t="str">
        <f>Source!DI165</f>
        <v/>
      </c>
      <c r="H244" s="10">
        <f>Source!AV165</f>
        <v>1</v>
      </c>
      <c r="I244" s="26">
        <f>Source!U165</f>
        <v>18</v>
      </c>
      <c r="J244" s="10"/>
      <c r="K244" s="26"/>
    </row>
    <row r="245" spans="1:27" ht="15" x14ac:dyDescent="0.25">
      <c r="A245" s="29"/>
      <c r="B245" s="29"/>
      <c r="C245" s="29"/>
      <c r="D245" s="29"/>
      <c r="E245" s="29"/>
      <c r="F245" s="29"/>
      <c r="G245" s="29"/>
      <c r="H245" s="41">
        <f>I241+I242+I243</f>
        <v>634.54999999999995</v>
      </c>
      <c r="I245" s="41"/>
      <c r="J245" s="41">
        <f>K241+K242+K243</f>
        <v>15667.869999999999</v>
      </c>
      <c r="K245" s="41"/>
      <c r="O245" s="28">
        <f>I241+I242+I243</f>
        <v>634.54999999999995</v>
      </c>
      <c r="P245" s="28">
        <f>K241+K242+K243</f>
        <v>15667.869999999999</v>
      </c>
      <c r="X245">
        <f>IF(Source!BI165&lt;=1,I241+I242+I243-0, 0)</f>
        <v>0</v>
      </c>
      <c r="Y245">
        <f>IF(Source!BI165=2,I241+I242+I243-0, 0)</f>
        <v>0</v>
      </c>
      <c r="Z245">
        <f>IF(Source!BI165=3,I241+I242+I243-0, 0)</f>
        <v>0</v>
      </c>
      <c r="AA245">
        <f>IF(Source!BI165=4,I241+I242+I243,0)</f>
        <v>634.54999999999995</v>
      </c>
    </row>
    <row r="246" spans="1:27" ht="42.75" x14ac:dyDescent="0.2">
      <c r="A246" s="23">
        <v>24</v>
      </c>
      <c r="B246" s="23" t="str">
        <f>Source!F166</f>
        <v>5.1-18-2</v>
      </c>
      <c r="C246" s="23" t="s">
        <v>235</v>
      </c>
      <c r="D246" s="24" t="str">
        <f>Source!H166</f>
        <v>1  ШТ.</v>
      </c>
      <c r="E246" s="10">
        <f>Source!I166</f>
        <v>1</v>
      </c>
      <c r="F246" s="26"/>
      <c r="G246" s="25"/>
      <c r="H246" s="10"/>
      <c r="I246" s="26"/>
      <c r="J246" s="10"/>
      <c r="K246" s="26"/>
      <c r="Q246">
        <f>ROUND((Source!DN166/100)*ROUND((Source!AF166*Source!AV166)*Source!I166, 2), 2)</f>
        <v>67.98</v>
      </c>
      <c r="R246">
        <f>Source!X166</f>
        <v>1819.06</v>
      </c>
      <c r="S246">
        <f>ROUND((Source!DO166/100)*ROUND((Source!AF166*Source!AV166)*Source!I166, 2), 2)</f>
        <v>63.45</v>
      </c>
      <c r="T246">
        <f>Source!Y166</f>
        <v>1065.45</v>
      </c>
      <c r="U246">
        <f>ROUND((175/100)*ROUND((Source!AE166*Source!AV166)*Source!I166, 2), 2)</f>
        <v>0</v>
      </c>
      <c r="V246">
        <f>ROUND((160/100)*ROUND(Source!CS166*Source!I166, 2), 2)</f>
        <v>0</v>
      </c>
    </row>
    <row r="247" spans="1:27" ht="14.25" x14ac:dyDescent="0.2">
      <c r="A247" s="23"/>
      <c r="B247" s="23"/>
      <c r="C247" s="23" t="s">
        <v>361</v>
      </c>
      <c r="D247" s="24"/>
      <c r="E247" s="10"/>
      <c r="F247" s="26">
        <f>Source!AO166</f>
        <v>90.64</v>
      </c>
      <c r="G247" s="25" t="str">
        <f>Source!DG166</f>
        <v/>
      </c>
      <c r="H247" s="10">
        <f>Source!AV166</f>
        <v>1</v>
      </c>
      <c r="I247" s="26">
        <f>ROUND((Source!AF166*Source!AV166)*Source!I166, 2)</f>
        <v>90.64</v>
      </c>
      <c r="J247" s="10">
        <f>IF(Source!BA166&lt;&gt; 0, Source!BA166, 1)</f>
        <v>28.67</v>
      </c>
      <c r="K247" s="26">
        <f>Source!S166</f>
        <v>2598.65</v>
      </c>
      <c r="W247">
        <f>I247</f>
        <v>90.64</v>
      </c>
    </row>
    <row r="248" spans="1:27" ht="14.25" x14ac:dyDescent="0.2">
      <c r="A248" s="23"/>
      <c r="B248" s="23"/>
      <c r="C248" s="23" t="s">
        <v>364</v>
      </c>
      <c r="D248" s="24" t="s">
        <v>365</v>
      </c>
      <c r="E248" s="10">
        <f>Source!DN166</f>
        <v>75</v>
      </c>
      <c r="F248" s="26"/>
      <c r="G248" s="25"/>
      <c r="H248" s="10"/>
      <c r="I248" s="26">
        <f>SUM(Q246:Q247)</f>
        <v>67.98</v>
      </c>
      <c r="J248" s="10">
        <f>Source!BZ166</f>
        <v>70</v>
      </c>
      <c r="K248" s="26">
        <f>SUM(R246:R247)</f>
        <v>1819.06</v>
      </c>
    </row>
    <row r="249" spans="1:27" ht="14.25" x14ac:dyDescent="0.2">
      <c r="A249" s="23"/>
      <c r="B249" s="23"/>
      <c r="C249" s="23" t="s">
        <v>366</v>
      </c>
      <c r="D249" s="24" t="s">
        <v>365</v>
      </c>
      <c r="E249" s="10">
        <f>Source!DO166</f>
        <v>70</v>
      </c>
      <c r="F249" s="26"/>
      <c r="G249" s="25"/>
      <c r="H249" s="10"/>
      <c r="I249" s="26">
        <f>SUM(S246:S248)</f>
        <v>63.45</v>
      </c>
      <c r="J249" s="10">
        <f>Source!CA166</f>
        <v>41</v>
      </c>
      <c r="K249" s="26">
        <f>SUM(T246:T248)</f>
        <v>1065.45</v>
      </c>
    </row>
    <row r="250" spans="1:27" ht="14.25" x14ac:dyDescent="0.2">
      <c r="A250" s="23"/>
      <c r="B250" s="23"/>
      <c r="C250" s="23" t="s">
        <v>368</v>
      </c>
      <c r="D250" s="24" t="s">
        <v>369</v>
      </c>
      <c r="E250" s="10">
        <f>Source!AQ166</f>
        <v>6.3</v>
      </c>
      <c r="F250" s="26"/>
      <c r="G250" s="25" t="str">
        <f>Source!DI166</f>
        <v/>
      </c>
      <c r="H250" s="10">
        <f>Source!AV166</f>
        <v>1</v>
      </c>
      <c r="I250" s="26">
        <f>Source!U166</f>
        <v>6.3</v>
      </c>
      <c r="J250" s="10"/>
      <c r="K250" s="26"/>
    </row>
    <row r="251" spans="1:27" ht="15" x14ac:dyDescent="0.25">
      <c r="A251" s="29"/>
      <c r="B251" s="29"/>
      <c r="C251" s="29"/>
      <c r="D251" s="29"/>
      <c r="E251" s="29"/>
      <c r="F251" s="29"/>
      <c r="G251" s="29"/>
      <c r="H251" s="41">
        <f>I247+I248+I249</f>
        <v>222.07</v>
      </c>
      <c r="I251" s="41"/>
      <c r="J251" s="41">
        <f>K247+K248+K249</f>
        <v>5483.16</v>
      </c>
      <c r="K251" s="41"/>
      <c r="O251" s="28">
        <f>I247+I248+I249</f>
        <v>222.07</v>
      </c>
      <c r="P251" s="28">
        <f>K247+K248+K249</f>
        <v>5483.16</v>
      </c>
      <c r="X251">
        <f>IF(Source!BI166&lt;=1,I247+I248+I249-0, 0)</f>
        <v>0</v>
      </c>
      <c r="Y251">
        <f>IF(Source!BI166=2,I247+I248+I249-0, 0)</f>
        <v>0</v>
      </c>
      <c r="Z251">
        <f>IF(Source!BI166=3,I247+I248+I249-0, 0)</f>
        <v>0</v>
      </c>
      <c r="AA251">
        <f>IF(Source!BI166=4,I247+I248+I249,0)</f>
        <v>222.07</v>
      </c>
    </row>
    <row r="252" spans="1:27" ht="42.75" x14ac:dyDescent="0.2">
      <c r="A252" s="23">
        <v>25</v>
      </c>
      <c r="B252" s="23" t="str">
        <f>Source!F167</f>
        <v>5.1-121-1</v>
      </c>
      <c r="C252" s="23" t="s">
        <v>239</v>
      </c>
      <c r="D252" s="24" t="str">
        <f>Source!H167</f>
        <v>1 система</v>
      </c>
      <c r="E252" s="10">
        <f>Source!I167</f>
        <v>1</v>
      </c>
      <c r="F252" s="26"/>
      <c r="G252" s="25"/>
      <c r="H252" s="10"/>
      <c r="I252" s="26"/>
      <c r="J252" s="10"/>
      <c r="K252" s="26"/>
      <c r="Q252">
        <f>ROUND((Source!DN167/100)*ROUND((Source!AF167*Source!AV167)*Source!I167, 2), 2)</f>
        <v>81.12</v>
      </c>
      <c r="R252">
        <f>Source!X167</f>
        <v>2170.67</v>
      </c>
      <c r="S252">
        <f>ROUND((Source!DO167/100)*ROUND((Source!AF167*Source!AV167)*Source!I167, 2), 2)</f>
        <v>75.709999999999994</v>
      </c>
      <c r="T252">
        <f>Source!Y167</f>
        <v>1271.3900000000001</v>
      </c>
      <c r="U252">
        <f>ROUND((175/100)*ROUND((Source!AE167*Source!AV167)*Source!I167, 2), 2)</f>
        <v>0</v>
      </c>
      <c r="V252">
        <f>ROUND((160/100)*ROUND(Source!CS167*Source!I167, 2), 2)</f>
        <v>0</v>
      </c>
    </row>
    <row r="253" spans="1:27" ht="14.25" x14ac:dyDescent="0.2">
      <c r="A253" s="23"/>
      <c r="B253" s="23"/>
      <c r="C253" s="23" t="s">
        <v>361</v>
      </c>
      <c r="D253" s="24"/>
      <c r="E253" s="10"/>
      <c r="F253" s="26">
        <f>Source!AO167</f>
        <v>108.16</v>
      </c>
      <c r="G253" s="25" t="str">
        <f>Source!DG167</f>
        <v/>
      </c>
      <c r="H253" s="10">
        <f>Source!AV167</f>
        <v>1</v>
      </c>
      <c r="I253" s="26">
        <f>ROUND((Source!AF167*Source!AV167)*Source!I167, 2)</f>
        <v>108.16</v>
      </c>
      <c r="J253" s="10">
        <f>IF(Source!BA167&lt;&gt; 0, Source!BA167, 1)</f>
        <v>28.67</v>
      </c>
      <c r="K253" s="26">
        <f>Source!S167</f>
        <v>3100.95</v>
      </c>
      <c r="W253">
        <f>I253</f>
        <v>108.16</v>
      </c>
    </row>
    <row r="254" spans="1:27" ht="14.25" x14ac:dyDescent="0.2">
      <c r="A254" s="23"/>
      <c r="B254" s="23"/>
      <c r="C254" s="23" t="s">
        <v>364</v>
      </c>
      <c r="D254" s="24" t="s">
        <v>365</v>
      </c>
      <c r="E254" s="10">
        <f>Source!DN167</f>
        <v>75</v>
      </c>
      <c r="F254" s="26"/>
      <c r="G254" s="25"/>
      <c r="H254" s="10"/>
      <c r="I254" s="26">
        <f>SUM(Q252:Q253)</f>
        <v>81.12</v>
      </c>
      <c r="J254" s="10">
        <f>Source!BZ167</f>
        <v>70</v>
      </c>
      <c r="K254" s="26">
        <f>SUM(R252:R253)</f>
        <v>2170.67</v>
      </c>
    </row>
    <row r="255" spans="1:27" ht="14.25" x14ac:dyDescent="0.2">
      <c r="A255" s="23"/>
      <c r="B255" s="23"/>
      <c r="C255" s="23" t="s">
        <v>366</v>
      </c>
      <c r="D255" s="24" t="s">
        <v>365</v>
      </c>
      <c r="E255" s="10">
        <f>Source!DO167</f>
        <v>70</v>
      </c>
      <c r="F255" s="26"/>
      <c r="G255" s="25"/>
      <c r="H255" s="10"/>
      <c r="I255" s="26">
        <f>SUM(S252:S254)</f>
        <v>75.709999999999994</v>
      </c>
      <c r="J255" s="10">
        <f>Source!CA167</f>
        <v>41</v>
      </c>
      <c r="K255" s="26">
        <f>SUM(T252:T254)</f>
        <v>1271.3900000000001</v>
      </c>
    </row>
    <row r="256" spans="1:27" ht="14.25" x14ac:dyDescent="0.2">
      <c r="A256" s="23"/>
      <c r="B256" s="23"/>
      <c r="C256" s="23" t="s">
        <v>368</v>
      </c>
      <c r="D256" s="24" t="s">
        <v>369</v>
      </c>
      <c r="E256" s="10">
        <f>Source!AQ167</f>
        <v>7.2</v>
      </c>
      <c r="F256" s="26"/>
      <c r="G256" s="25" t="str">
        <f>Source!DI167</f>
        <v/>
      </c>
      <c r="H256" s="10">
        <f>Source!AV167</f>
        <v>1</v>
      </c>
      <c r="I256" s="26">
        <f>Source!U167</f>
        <v>7.2</v>
      </c>
      <c r="J256" s="10"/>
      <c r="K256" s="26"/>
    </row>
    <row r="257" spans="1:27" ht="15" x14ac:dyDescent="0.25">
      <c r="A257" s="29"/>
      <c r="B257" s="29"/>
      <c r="C257" s="29"/>
      <c r="D257" s="29"/>
      <c r="E257" s="29"/>
      <c r="F257" s="29"/>
      <c r="G257" s="29"/>
      <c r="H257" s="41">
        <f>I253+I254+I255</f>
        <v>264.99</v>
      </c>
      <c r="I257" s="41"/>
      <c r="J257" s="41">
        <f>K253+K254+K255</f>
        <v>6543.01</v>
      </c>
      <c r="K257" s="41"/>
      <c r="O257" s="28">
        <f>I253+I254+I255</f>
        <v>264.99</v>
      </c>
      <c r="P257" s="28">
        <f>K253+K254+K255</f>
        <v>6543.01</v>
      </c>
      <c r="X257">
        <f>IF(Source!BI167&lt;=1,I253+I254+I255-0, 0)</f>
        <v>0</v>
      </c>
      <c r="Y257">
        <f>IF(Source!BI167=2,I253+I254+I255-0, 0)</f>
        <v>0</v>
      </c>
      <c r="Z257">
        <f>IF(Source!BI167=3,I253+I254+I255-0, 0)</f>
        <v>0</v>
      </c>
      <c r="AA257">
        <f>IF(Source!BI167=4,I253+I254+I255,0)</f>
        <v>264.99</v>
      </c>
    </row>
    <row r="258" spans="1:27" ht="28.5" x14ac:dyDescent="0.2">
      <c r="A258" s="23">
        <v>26</v>
      </c>
      <c r="B258" s="23" t="str">
        <f>Source!F168</f>
        <v>5.1-121-3</v>
      </c>
      <c r="C258" s="23" t="s">
        <v>244</v>
      </c>
      <c r="D258" s="24" t="str">
        <f>Source!H168</f>
        <v>1 система</v>
      </c>
      <c r="E258" s="10">
        <f>Source!I168</f>
        <v>1</v>
      </c>
      <c r="F258" s="26"/>
      <c r="G258" s="25"/>
      <c r="H258" s="10"/>
      <c r="I258" s="26"/>
      <c r="J258" s="10"/>
      <c r="K258" s="26"/>
      <c r="Q258">
        <f>ROUND((Source!DN168/100)*ROUND((Source!AF168*Source!AV168)*Source!I168, 2), 2)</f>
        <v>112.67</v>
      </c>
      <c r="R258">
        <f>Source!X168</f>
        <v>3014.77</v>
      </c>
      <c r="S258">
        <f>ROUND((Source!DO168/100)*ROUND((Source!AF168*Source!AV168)*Source!I168, 2), 2)</f>
        <v>105.15</v>
      </c>
      <c r="T258">
        <f>Source!Y168</f>
        <v>1765.79</v>
      </c>
      <c r="U258">
        <f>ROUND((175/100)*ROUND((Source!AE168*Source!AV168)*Source!I168, 2), 2)</f>
        <v>0</v>
      </c>
      <c r="V258">
        <f>ROUND((160/100)*ROUND(Source!CS168*Source!I168, 2), 2)</f>
        <v>0</v>
      </c>
    </row>
    <row r="259" spans="1:27" ht="14.25" x14ac:dyDescent="0.2">
      <c r="A259" s="23"/>
      <c r="B259" s="23"/>
      <c r="C259" s="23" t="s">
        <v>361</v>
      </c>
      <c r="D259" s="24"/>
      <c r="E259" s="10"/>
      <c r="F259" s="26">
        <f>Source!AO168</f>
        <v>150.22</v>
      </c>
      <c r="G259" s="25" t="str">
        <f>Source!DG168</f>
        <v/>
      </c>
      <c r="H259" s="10">
        <f>Source!AV168</f>
        <v>1</v>
      </c>
      <c r="I259" s="26">
        <f>ROUND((Source!AF168*Source!AV168)*Source!I168, 2)</f>
        <v>150.22</v>
      </c>
      <c r="J259" s="10">
        <f>IF(Source!BA168&lt;&gt; 0, Source!BA168, 1)</f>
        <v>28.67</v>
      </c>
      <c r="K259" s="26">
        <f>Source!S168</f>
        <v>4306.8100000000004</v>
      </c>
      <c r="W259">
        <f>I259</f>
        <v>150.22</v>
      </c>
    </row>
    <row r="260" spans="1:27" ht="14.25" x14ac:dyDescent="0.2">
      <c r="A260" s="23"/>
      <c r="B260" s="23"/>
      <c r="C260" s="23" t="s">
        <v>364</v>
      </c>
      <c r="D260" s="24" t="s">
        <v>365</v>
      </c>
      <c r="E260" s="10">
        <f>Source!DN168</f>
        <v>75</v>
      </c>
      <c r="F260" s="26"/>
      <c r="G260" s="25"/>
      <c r="H260" s="10"/>
      <c r="I260" s="26">
        <f>SUM(Q258:Q259)</f>
        <v>112.67</v>
      </c>
      <c r="J260" s="10">
        <f>Source!BZ168</f>
        <v>70</v>
      </c>
      <c r="K260" s="26">
        <f>SUM(R258:R259)</f>
        <v>3014.77</v>
      </c>
    </row>
    <row r="261" spans="1:27" ht="14.25" x14ac:dyDescent="0.2">
      <c r="A261" s="23"/>
      <c r="B261" s="23"/>
      <c r="C261" s="23" t="s">
        <v>366</v>
      </c>
      <c r="D261" s="24" t="s">
        <v>365</v>
      </c>
      <c r="E261" s="10">
        <f>Source!DO168</f>
        <v>70</v>
      </c>
      <c r="F261" s="26"/>
      <c r="G261" s="25"/>
      <c r="H261" s="10"/>
      <c r="I261" s="26">
        <f>SUM(S258:S260)</f>
        <v>105.15</v>
      </c>
      <c r="J261" s="10">
        <f>Source!CA168</f>
        <v>41</v>
      </c>
      <c r="K261" s="26">
        <f>SUM(T258:T260)</f>
        <v>1765.79</v>
      </c>
    </row>
    <row r="262" spans="1:27" ht="14.25" x14ac:dyDescent="0.2">
      <c r="A262" s="23"/>
      <c r="B262" s="23"/>
      <c r="C262" s="23" t="s">
        <v>368</v>
      </c>
      <c r="D262" s="24" t="s">
        <v>369</v>
      </c>
      <c r="E262" s="10">
        <f>Source!AQ168</f>
        <v>10</v>
      </c>
      <c r="F262" s="26"/>
      <c r="G262" s="25" t="str">
        <f>Source!DI168</f>
        <v/>
      </c>
      <c r="H262" s="10">
        <f>Source!AV168</f>
        <v>1</v>
      </c>
      <c r="I262" s="26">
        <f>Source!U168</f>
        <v>10</v>
      </c>
      <c r="J262" s="10"/>
      <c r="K262" s="26"/>
    </row>
    <row r="263" spans="1:27" ht="15" x14ac:dyDescent="0.25">
      <c r="A263" s="29"/>
      <c r="B263" s="29"/>
      <c r="C263" s="29"/>
      <c r="D263" s="29"/>
      <c r="E263" s="29"/>
      <c r="F263" s="29"/>
      <c r="G263" s="29"/>
      <c r="H263" s="41">
        <f>I259+I260+I261</f>
        <v>368.03999999999996</v>
      </c>
      <c r="I263" s="41"/>
      <c r="J263" s="41">
        <f>K259+K260+K261</f>
        <v>9087.369999999999</v>
      </c>
      <c r="K263" s="41"/>
      <c r="O263" s="28">
        <f>I259+I260+I261</f>
        <v>368.03999999999996</v>
      </c>
      <c r="P263" s="28">
        <f>K259+K260+K261</f>
        <v>9087.369999999999</v>
      </c>
      <c r="X263">
        <f>IF(Source!BI168&lt;=1,I259+I260+I261-0, 0)</f>
        <v>0</v>
      </c>
      <c r="Y263">
        <f>IF(Source!BI168=2,I259+I260+I261-0, 0)</f>
        <v>0</v>
      </c>
      <c r="Z263">
        <f>IF(Source!BI168=3,I259+I260+I261-0, 0)</f>
        <v>0</v>
      </c>
      <c r="AA263">
        <f>IF(Source!BI168=4,I259+I260+I261,0)</f>
        <v>368.03999999999996</v>
      </c>
    </row>
    <row r="264" spans="1:27" ht="42.75" x14ac:dyDescent="0.2">
      <c r="A264" s="23">
        <v>27</v>
      </c>
      <c r="B264" s="23" t="str">
        <f>Source!F169</f>
        <v>5.1-167-1</v>
      </c>
      <c r="C264" s="23" t="s">
        <v>248</v>
      </c>
      <c r="D264" s="24" t="str">
        <f>Source!H169</f>
        <v>1 испытание</v>
      </c>
      <c r="E264" s="10">
        <f>Source!I169</f>
        <v>2</v>
      </c>
      <c r="F264" s="26"/>
      <c r="G264" s="25"/>
      <c r="H264" s="10"/>
      <c r="I264" s="26"/>
      <c r="J264" s="10"/>
      <c r="K264" s="26"/>
      <c r="Q264">
        <f>ROUND((Source!DN169/100)*ROUND((Source!AF169*Source!AV169)*Source!I169, 2), 2)</f>
        <v>68.599999999999994</v>
      </c>
      <c r="R264">
        <f>Source!X169</f>
        <v>1835.51</v>
      </c>
      <c r="S264">
        <f>ROUND((Source!DO169/100)*ROUND((Source!AF169*Source!AV169)*Source!I169, 2), 2)</f>
        <v>64.02</v>
      </c>
      <c r="T264">
        <f>Source!Y169</f>
        <v>1075.0899999999999</v>
      </c>
      <c r="U264">
        <f>ROUND((175/100)*ROUND((Source!AE169*Source!AV169)*Source!I169, 2), 2)</f>
        <v>0</v>
      </c>
      <c r="V264">
        <f>ROUND((160/100)*ROUND(Source!CS169*Source!I169, 2), 2)</f>
        <v>0</v>
      </c>
    </row>
    <row r="265" spans="1:27" ht="14.25" x14ac:dyDescent="0.2">
      <c r="A265" s="23"/>
      <c r="B265" s="23"/>
      <c r="C265" s="23" t="s">
        <v>361</v>
      </c>
      <c r="D265" s="24"/>
      <c r="E265" s="10"/>
      <c r="F265" s="26">
        <f>Source!AO169</f>
        <v>45.73</v>
      </c>
      <c r="G265" s="25" t="str">
        <f>Source!DG169</f>
        <v/>
      </c>
      <c r="H265" s="10">
        <f>Source!AV169</f>
        <v>1</v>
      </c>
      <c r="I265" s="26">
        <f>ROUND((Source!AF169*Source!AV169)*Source!I169, 2)</f>
        <v>91.46</v>
      </c>
      <c r="J265" s="10">
        <f>IF(Source!BA169&lt;&gt; 0, Source!BA169, 1)</f>
        <v>28.67</v>
      </c>
      <c r="K265" s="26">
        <f>Source!S169</f>
        <v>2622.16</v>
      </c>
      <c r="W265">
        <f>I265</f>
        <v>91.46</v>
      </c>
    </row>
    <row r="266" spans="1:27" ht="14.25" x14ac:dyDescent="0.2">
      <c r="A266" s="23"/>
      <c r="B266" s="23"/>
      <c r="C266" s="23" t="s">
        <v>364</v>
      </c>
      <c r="D266" s="24" t="s">
        <v>365</v>
      </c>
      <c r="E266" s="10">
        <f>Source!DN169</f>
        <v>75</v>
      </c>
      <c r="F266" s="26"/>
      <c r="G266" s="25"/>
      <c r="H266" s="10"/>
      <c r="I266" s="26">
        <f>SUM(Q264:Q265)</f>
        <v>68.599999999999994</v>
      </c>
      <c r="J266" s="10">
        <f>Source!BZ169</f>
        <v>70</v>
      </c>
      <c r="K266" s="26">
        <f>SUM(R264:R265)</f>
        <v>1835.51</v>
      </c>
    </row>
    <row r="267" spans="1:27" ht="14.25" x14ac:dyDescent="0.2">
      <c r="A267" s="23"/>
      <c r="B267" s="23"/>
      <c r="C267" s="23" t="s">
        <v>366</v>
      </c>
      <c r="D267" s="24" t="s">
        <v>365</v>
      </c>
      <c r="E267" s="10">
        <f>Source!DO169</f>
        <v>70</v>
      </c>
      <c r="F267" s="26"/>
      <c r="G267" s="25"/>
      <c r="H267" s="10"/>
      <c r="I267" s="26">
        <f>SUM(S264:S266)</f>
        <v>64.02</v>
      </c>
      <c r="J267" s="10">
        <f>Source!CA169</f>
        <v>41</v>
      </c>
      <c r="K267" s="26">
        <f>SUM(T264:T266)</f>
        <v>1075.0899999999999</v>
      </c>
    </row>
    <row r="268" spans="1:27" ht="14.25" x14ac:dyDescent="0.2">
      <c r="A268" s="23"/>
      <c r="B268" s="23"/>
      <c r="C268" s="23" t="s">
        <v>368</v>
      </c>
      <c r="D268" s="24" t="s">
        <v>369</v>
      </c>
      <c r="E268" s="10">
        <f>Source!AQ169</f>
        <v>2.7</v>
      </c>
      <c r="F268" s="26"/>
      <c r="G268" s="25" t="str">
        <f>Source!DI169</f>
        <v/>
      </c>
      <c r="H268" s="10">
        <f>Source!AV169</f>
        <v>1</v>
      </c>
      <c r="I268" s="26">
        <f>Source!U169</f>
        <v>5.4</v>
      </c>
      <c r="J268" s="10"/>
      <c r="K268" s="26"/>
    </row>
    <row r="269" spans="1:27" ht="15" x14ac:dyDescent="0.25">
      <c r="A269" s="29"/>
      <c r="B269" s="29"/>
      <c r="C269" s="29"/>
      <c r="D269" s="29"/>
      <c r="E269" s="29"/>
      <c r="F269" s="29"/>
      <c r="G269" s="29"/>
      <c r="H269" s="41">
        <f>I265+I266+I267</f>
        <v>224.07999999999998</v>
      </c>
      <c r="I269" s="41"/>
      <c r="J269" s="41">
        <f>K265+K266+K267</f>
        <v>5532.76</v>
      </c>
      <c r="K269" s="41"/>
      <c r="O269" s="28">
        <f>I265+I266+I267</f>
        <v>224.07999999999998</v>
      </c>
      <c r="P269" s="28">
        <f>K265+K266+K267</f>
        <v>5532.76</v>
      </c>
      <c r="X269">
        <f>IF(Source!BI169&lt;=1,I265+I266+I267-0, 0)</f>
        <v>0</v>
      </c>
      <c r="Y269">
        <f>IF(Source!BI169=2,I265+I266+I267-0, 0)</f>
        <v>0</v>
      </c>
      <c r="Z269">
        <f>IF(Source!BI169=3,I265+I266+I267-0, 0)</f>
        <v>0</v>
      </c>
      <c r="AA269">
        <f>IF(Source!BI169=4,I265+I266+I267,0)</f>
        <v>224.07999999999998</v>
      </c>
    </row>
    <row r="270" spans="1:27" ht="42.75" x14ac:dyDescent="0.2">
      <c r="A270" s="23">
        <v>28</v>
      </c>
      <c r="B270" s="23" t="str">
        <f>Source!F170</f>
        <v>5.1-26-5</v>
      </c>
      <c r="C270" s="23" t="s">
        <v>253</v>
      </c>
      <c r="D270" s="24" t="str">
        <f>Source!H170</f>
        <v>1  ШТ.</v>
      </c>
      <c r="E270" s="10">
        <f>Source!I170</f>
        <v>3</v>
      </c>
      <c r="F270" s="26"/>
      <c r="G270" s="25"/>
      <c r="H270" s="10"/>
      <c r="I270" s="26"/>
      <c r="J270" s="10"/>
      <c r="K270" s="26"/>
      <c r="Q270">
        <f>ROUND((Source!DN170/100)*ROUND((Source!AF170*Source!AV170)*Source!I170, 2), 2)</f>
        <v>793.89</v>
      </c>
      <c r="R270">
        <f>Source!X170</f>
        <v>21243.439999999999</v>
      </c>
      <c r="S270">
        <f>ROUND((Source!DO170/100)*ROUND((Source!AF170*Source!AV170)*Source!I170, 2), 2)</f>
        <v>740.96</v>
      </c>
      <c r="T270">
        <f>Source!Y170</f>
        <v>12442.59</v>
      </c>
      <c r="U270">
        <f>ROUND((175/100)*ROUND((Source!AE170*Source!AV170)*Source!I170, 2), 2)</f>
        <v>0</v>
      </c>
      <c r="V270">
        <f>ROUND((160/100)*ROUND(Source!CS170*Source!I170, 2), 2)</f>
        <v>0</v>
      </c>
    </row>
    <row r="271" spans="1:27" ht="14.25" x14ac:dyDescent="0.2">
      <c r="A271" s="23"/>
      <c r="B271" s="23"/>
      <c r="C271" s="23" t="s">
        <v>361</v>
      </c>
      <c r="D271" s="24"/>
      <c r="E271" s="10"/>
      <c r="F271" s="26">
        <f>Source!AO170</f>
        <v>352.84</v>
      </c>
      <c r="G271" s="25" t="str">
        <f>Source!DG170</f>
        <v/>
      </c>
      <c r="H271" s="10">
        <f>Source!AV170</f>
        <v>1</v>
      </c>
      <c r="I271" s="26">
        <f>ROUND((Source!AF170*Source!AV170)*Source!I170, 2)</f>
        <v>1058.52</v>
      </c>
      <c r="J271" s="10">
        <f>IF(Source!BA170&lt;&gt; 0, Source!BA170, 1)</f>
        <v>28.67</v>
      </c>
      <c r="K271" s="26">
        <f>Source!S170</f>
        <v>30347.77</v>
      </c>
      <c r="W271">
        <f>I271</f>
        <v>1058.52</v>
      </c>
    </row>
    <row r="272" spans="1:27" ht="14.25" x14ac:dyDescent="0.2">
      <c r="A272" s="23"/>
      <c r="B272" s="23"/>
      <c r="C272" s="23" t="s">
        <v>364</v>
      </c>
      <c r="D272" s="24" t="s">
        <v>365</v>
      </c>
      <c r="E272" s="10">
        <f>Source!DN170</f>
        <v>75</v>
      </c>
      <c r="F272" s="26"/>
      <c r="G272" s="25"/>
      <c r="H272" s="10"/>
      <c r="I272" s="26">
        <f>SUM(Q270:Q271)</f>
        <v>793.89</v>
      </c>
      <c r="J272" s="10">
        <f>Source!BZ170</f>
        <v>70</v>
      </c>
      <c r="K272" s="26">
        <f>SUM(R270:R271)</f>
        <v>21243.439999999999</v>
      </c>
    </row>
    <row r="273" spans="1:27" ht="14.25" x14ac:dyDescent="0.2">
      <c r="A273" s="23"/>
      <c r="B273" s="23"/>
      <c r="C273" s="23" t="s">
        <v>366</v>
      </c>
      <c r="D273" s="24" t="s">
        <v>365</v>
      </c>
      <c r="E273" s="10">
        <f>Source!DO170</f>
        <v>70</v>
      </c>
      <c r="F273" s="26"/>
      <c r="G273" s="25"/>
      <c r="H273" s="10"/>
      <c r="I273" s="26">
        <f>SUM(S270:S272)</f>
        <v>740.96</v>
      </c>
      <c r="J273" s="10">
        <f>Source!CA170</f>
        <v>41</v>
      </c>
      <c r="K273" s="26">
        <f>SUM(T270:T272)</f>
        <v>12442.59</v>
      </c>
    </row>
    <row r="274" spans="1:27" ht="14.25" x14ac:dyDescent="0.2">
      <c r="A274" s="23"/>
      <c r="B274" s="23"/>
      <c r="C274" s="23" t="s">
        <v>368</v>
      </c>
      <c r="D274" s="24" t="s">
        <v>369</v>
      </c>
      <c r="E274" s="10">
        <f>Source!AQ170</f>
        <v>22</v>
      </c>
      <c r="F274" s="26"/>
      <c r="G274" s="25" t="str">
        <f>Source!DI170</f>
        <v/>
      </c>
      <c r="H274" s="10">
        <f>Source!AV170</f>
        <v>1</v>
      </c>
      <c r="I274" s="26">
        <f>Source!U170</f>
        <v>66</v>
      </c>
      <c r="J274" s="10"/>
      <c r="K274" s="26"/>
    </row>
    <row r="275" spans="1:27" ht="15" x14ac:dyDescent="0.25">
      <c r="A275" s="29"/>
      <c r="B275" s="29"/>
      <c r="C275" s="29"/>
      <c r="D275" s="29"/>
      <c r="E275" s="29"/>
      <c r="F275" s="29"/>
      <c r="G275" s="29"/>
      <c r="H275" s="41">
        <f>I271+I272+I273</f>
        <v>2593.37</v>
      </c>
      <c r="I275" s="41"/>
      <c r="J275" s="41">
        <f>K271+K272+K273</f>
        <v>64033.8</v>
      </c>
      <c r="K275" s="41"/>
      <c r="O275" s="28">
        <f>I271+I272+I273</f>
        <v>2593.37</v>
      </c>
      <c r="P275" s="28">
        <f>K271+K272+K273</f>
        <v>64033.8</v>
      </c>
      <c r="X275">
        <f>IF(Source!BI170&lt;=1,I271+I272+I273-0, 0)</f>
        <v>0</v>
      </c>
      <c r="Y275">
        <f>IF(Source!BI170=2,I271+I272+I273-0, 0)</f>
        <v>0</v>
      </c>
      <c r="Z275">
        <f>IF(Source!BI170=3,I271+I272+I273-0, 0)</f>
        <v>0</v>
      </c>
      <c r="AA275">
        <f>IF(Source!BI170=4,I271+I272+I273,0)</f>
        <v>2593.37</v>
      </c>
    </row>
    <row r="276" spans="1:27" ht="28.5" x14ac:dyDescent="0.2">
      <c r="A276" s="23">
        <v>29</v>
      </c>
      <c r="B276" s="23" t="str">
        <f>Source!F171</f>
        <v>5.1-26-1</v>
      </c>
      <c r="C276" s="23" t="s">
        <v>257</v>
      </c>
      <c r="D276" s="24" t="str">
        <f>Source!H171</f>
        <v>1  ШТ.</v>
      </c>
      <c r="E276" s="10">
        <f>Source!I171</f>
        <v>2</v>
      </c>
      <c r="F276" s="26"/>
      <c r="G276" s="25"/>
      <c r="H276" s="10"/>
      <c r="I276" s="26"/>
      <c r="J276" s="10"/>
      <c r="K276" s="26"/>
      <c r="Q276">
        <f>ROUND((Source!DN171/100)*ROUND((Source!AF171*Source!AV171)*Source!I171, 2), 2)</f>
        <v>194.87</v>
      </c>
      <c r="R276">
        <f>Source!X171</f>
        <v>5214.33</v>
      </c>
      <c r="S276">
        <f>ROUND((Source!DO171/100)*ROUND((Source!AF171*Source!AV171)*Source!I171, 2), 2)</f>
        <v>181.87</v>
      </c>
      <c r="T276">
        <f>Source!Y171</f>
        <v>3054.11</v>
      </c>
      <c r="U276">
        <f>ROUND((175/100)*ROUND((Source!AE171*Source!AV171)*Source!I171, 2), 2)</f>
        <v>0</v>
      </c>
      <c r="V276">
        <f>ROUND((160/100)*ROUND(Source!CS171*Source!I171, 2), 2)</f>
        <v>0</v>
      </c>
    </row>
    <row r="277" spans="1:27" ht="14.25" x14ac:dyDescent="0.2">
      <c r="A277" s="23"/>
      <c r="B277" s="23"/>
      <c r="C277" s="23" t="s">
        <v>361</v>
      </c>
      <c r="D277" s="24"/>
      <c r="E277" s="10"/>
      <c r="F277" s="26">
        <f>Source!AO171</f>
        <v>129.91</v>
      </c>
      <c r="G277" s="25" t="str">
        <f>Source!DG171</f>
        <v/>
      </c>
      <c r="H277" s="10">
        <f>Source!AV171</f>
        <v>1</v>
      </c>
      <c r="I277" s="26">
        <f>ROUND((Source!AF171*Source!AV171)*Source!I171, 2)</f>
        <v>259.82</v>
      </c>
      <c r="J277" s="10">
        <f>IF(Source!BA171&lt;&gt; 0, Source!BA171, 1)</f>
        <v>28.67</v>
      </c>
      <c r="K277" s="26">
        <f>Source!S171</f>
        <v>7449.04</v>
      </c>
      <c r="W277">
        <f>I277</f>
        <v>259.82</v>
      </c>
    </row>
    <row r="278" spans="1:27" ht="14.25" x14ac:dyDescent="0.2">
      <c r="A278" s="23"/>
      <c r="B278" s="23"/>
      <c r="C278" s="23" t="s">
        <v>364</v>
      </c>
      <c r="D278" s="24" t="s">
        <v>365</v>
      </c>
      <c r="E278" s="10">
        <f>Source!DN171</f>
        <v>75</v>
      </c>
      <c r="F278" s="26"/>
      <c r="G278" s="25"/>
      <c r="H278" s="10"/>
      <c r="I278" s="26">
        <f>SUM(Q276:Q277)</f>
        <v>194.87</v>
      </c>
      <c r="J278" s="10">
        <f>Source!BZ171</f>
        <v>70</v>
      </c>
      <c r="K278" s="26">
        <f>SUM(R276:R277)</f>
        <v>5214.33</v>
      </c>
    </row>
    <row r="279" spans="1:27" ht="14.25" x14ac:dyDescent="0.2">
      <c r="A279" s="23"/>
      <c r="B279" s="23"/>
      <c r="C279" s="23" t="s">
        <v>366</v>
      </c>
      <c r="D279" s="24" t="s">
        <v>365</v>
      </c>
      <c r="E279" s="10">
        <f>Source!DO171</f>
        <v>70</v>
      </c>
      <c r="F279" s="26"/>
      <c r="G279" s="25"/>
      <c r="H279" s="10"/>
      <c r="I279" s="26">
        <f>SUM(S276:S278)</f>
        <v>181.87</v>
      </c>
      <c r="J279" s="10">
        <f>Source!CA171</f>
        <v>41</v>
      </c>
      <c r="K279" s="26">
        <f>SUM(T276:T278)</f>
        <v>3054.11</v>
      </c>
    </row>
    <row r="280" spans="1:27" ht="14.25" x14ac:dyDescent="0.2">
      <c r="A280" s="23"/>
      <c r="B280" s="23"/>
      <c r="C280" s="23" t="s">
        <v>368</v>
      </c>
      <c r="D280" s="24" t="s">
        <v>369</v>
      </c>
      <c r="E280" s="10">
        <f>Source!AQ171</f>
        <v>8.1</v>
      </c>
      <c r="F280" s="26"/>
      <c r="G280" s="25" t="str">
        <f>Source!DI171</f>
        <v/>
      </c>
      <c r="H280" s="10">
        <f>Source!AV171</f>
        <v>1</v>
      </c>
      <c r="I280" s="26">
        <f>Source!U171</f>
        <v>16.2</v>
      </c>
      <c r="J280" s="10"/>
      <c r="K280" s="26"/>
    </row>
    <row r="281" spans="1:27" ht="15" x14ac:dyDescent="0.25">
      <c r="A281" s="29"/>
      <c r="B281" s="29"/>
      <c r="C281" s="29"/>
      <c r="D281" s="29"/>
      <c r="E281" s="29"/>
      <c r="F281" s="29"/>
      <c r="G281" s="29"/>
      <c r="H281" s="41">
        <f>I277+I278+I279</f>
        <v>636.55999999999995</v>
      </c>
      <c r="I281" s="41"/>
      <c r="J281" s="41">
        <f>K277+K278+K279</f>
        <v>15717.48</v>
      </c>
      <c r="K281" s="41"/>
      <c r="O281" s="28">
        <f>I277+I278+I279</f>
        <v>636.55999999999995</v>
      </c>
      <c r="P281" s="28">
        <f>K277+K278+K279</f>
        <v>15717.48</v>
      </c>
      <c r="X281">
        <f>IF(Source!BI171&lt;=1,I277+I278+I279-0, 0)</f>
        <v>0</v>
      </c>
      <c r="Y281">
        <f>IF(Source!BI171=2,I277+I278+I279-0, 0)</f>
        <v>0</v>
      </c>
      <c r="Z281">
        <f>IF(Source!BI171=3,I277+I278+I279-0, 0)</f>
        <v>0</v>
      </c>
      <c r="AA281">
        <f>IF(Source!BI171=4,I277+I278+I279,0)</f>
        <v>636.55999999999995</v>
      </c>
    </row>
    <row r="282" spans="1:27" ht="28.5" x14ac:dyDescent="0.2">
      <c r="A282" s="23">
        <v>30</v>
      </c>
      <c r="B282" s="23" t="str">
        <f>Source!F172</f>
        <v>5.1-36-1</v>
      </c>
      <c r="C282" s="23" t="s">
        <v>261</v>
      </c>
      <c r="D282" s="24" t="str">
        <f>Source!H172</f>
        <v>1 комплект</v>
      </c>
      <c r="E282" s="10">
        <f>Source!I172</f>
        <v>3</v>
      </c>
      <c r="F282" s="26"/>
      <c r="G282" s="25"/>
      <c r="H282" s="10"/>
      <c r="I282" s="26"/>
      <c r="J282" s="10"/>
      <c r="K282" s="26"/>
      <c r="Q282">
        <f>ROUND((Source!DN172/100)*ROUND((Source!AF172*Source!AV172)*Source!I172, 2), 2)</f>
        <v>168.26</v>
      </c>
      <c r="R282">
        <f>Source!X172</f>
        <v>4502.28</v>
      </c>
      <c r="S282">
        <f>ROUND((Source!DO172/100)*ROUND((Source!AF172*Source!AV172)*Source!I172, 2), 2)</f>
        <v>157.04</v>
      </c>
      <c r="T282">
        <f>Source!Y172</f>
        <v>2637.05</v>
      </c>
      <c r="U282">
        <f>ROUND((175/100)*ROUND((Source!AE172*Source!AV172)*Source!I172, 2), 2)</f>
        <v>0</v>
      </c>
      <c r="V282">
        <f>ROUND((160/100)*ROUND(Source!CS172*Source!I172, 2), 2)</f>
        <v>0</v>
      </c>
    </row>
    <row r="283" spans="1:27" ht="14.25" x14ac:dyDescent="0.2">
      <c r="A283" s="23"/>
      <c r="B283" s="23"/>
      <c r="C283" s="23" t="s">
        <v>361</v>
      </c>
      <c r="D283" s="24"/>
      <c r="E283" s="10"/>
      <c r="F283" s="26">
        <f>Source!AO172</f>
        <v>74.78</v>
      </c>
      <c r="G283" s="25" t="str">
        <f>Source!DG172</f>
        <v/>
      </c>
      <c r="H283" s="10">
        <f>Source!AV172</f>
        <v>1</v>
      </c>
      <c r="I283" s="26">
        <f>ROUND((Source!AF172*Source!AV172)*Source!I172, 2)</f>
        <v>224.34</v>
      </c>
      <c r="J283" s="10">
        <f>IF(Source!BA172&lt;&gt; 0, Source!BA172, 1)</f>
        <v>28.67</v>
      </c>
      <c r="K283" s="26">
        <f>Source!S172</f>
        <v>6431.83</v>
      </c>
      <c r="W283">
        <f>I283</f>
        <v>224.34</v>
      </c>
    </row>
    <row r="284" spans="1:27" ht="14.25" x14ac:dyDescent="0.2">
      <c r="A284" s="23"/>
      <c r="B284" s="23"/>
      <c r="C284" s="23" t="s">
        <v>364</v>
      </c>
      <c r="D284" s="24" t="s">
        <v>365</v>
      </c>
      <c r="E284" s="10">
        <f>Source!DN172</f>
        <v>75</v>
      </c>
      <c r="F284" s="26"/>
      <c r="G284" s="25"/>
      <c r="H284" s="10"/>
      <c r="I284" s="26">
        <f>SUM(Q282:Q283)</f>
        <v>168.26</v>
      </c>
      <c r="J284" s="10">
        <f>Source!BZ172</f>
        <v>70</v>
      </c>
      <c r="K284" s="26">
        <f>SUM(R282:R283)</f>
        <v>4502.28</v>
      </c>
    </row>
    <row r="285" spans="1:27" ht="14.25" x14ac:dyDescent="0.2">
      <c r="A285" s="23"/>
      <c r="B285" s="23"/>
      <c r="C285" s="23" t="s">
        <v>366</v>
      </c>
      <c r="D285" s="24" t="s">
        <v>365</v>
      </c>
      <c r="E285" s="10">
        <f>Source!DO172</f>
        <v>70</v>
      </c>
      <c r="F285" s="26"/>
      <c r="G285" s="25"/>
      <c r="H285" s="10"/>
      <c r="I285" s="26">
        <f>SUM(S282:S284)</f>
        <v>157.04</v>
      </c>
      <c r="J285" s="10">
        <f>Source!CA172</f>
        <v>41</v>
      </c>
      <c r="K285" s="26">
        <f>SUM(T282:T284)</f>
        <v>2637.05</v>
      </c>
    </row>
    <row r="286" spans="1:27" ht="14.25" x14ac:dyDescent="0.2">
      <c r="A286" s="23"/>
      <c r="B286" s="23"/>
      <c r="C286" s="23" t="s">
        <v>368</v>
      </c>
      <c r="D286" s="24" t="s">
        <v>369</v>
      </c>
      <c r="E286" s="10">
        <f>Source!AQ172</f>
        <v>4.5</v>
      </c>
      <c r="F286" s="26"/>
      <c r="G286" s="25" t="str">
        <f>Source!DI172</f>
        <v/>
      </c>
      <c r="H286" s="10">
        <f>Source!AV172</f>
        <v>1</v>
      </c>
      <c r="I286" s="26">
        <f>Source!U172</f>
        <v>13.5</v>
      </c>
      <c r="J286" s="10"/>
      <c r="K286" s="26"/>
    </row>
    <row r="287" spans="1:27" ht="15" x14ac:dyDescent="0.25">
      <c r="A287" s="29"/>
      <c r="B287" s="29"/>
      <c r="C287" s="29"/>
      <c r="D287" s="29"/>
      <c r="E287" s="29"/>
      <c r="F287" s="29"/>
      <c r="G287" s="29"/>
      <c r="H287" s="41">
        <f>I283+I284+I285</f>
        <v>549.64</v>
      </c>
      <c r="I287" s="41"/>
      <c r="J287" s="41">
        <f>K283+K284+K285</f>
        <v>13571.16</v>
      </c>
      <c r="K287" s="41"/>
      <c r="O287" s="28">
        <f>I283+I284+I285</f>
        <v>549.64</v>
      </c>
      <c r="P287" s="28">
        <f>K283+K284+K285</f>
        <v>13571.16</v>
      </c>
      <c r="X287">
        <f>IF(Source!BI172&lt;=1,I283+I284+I285-0, 0)</f>
        <v>0</v>
      </c>
      <c r="Y287">
        <f>IF(Source!BI172=2,I283+I284+I285-0, 0)</f>
        <v>0</v>
      </c>
      <c r="Z287">
        <f>IF(Source!BI172=3,I283+I284+I285-0, 0)</f>
        <v>0</v>
      </c>
      <c r="AA287">
        <f>IF(Source!BI172=4,I283+I284+I285,0)</f>
        <v>549.64</v>
      </c>
    </row>
    <row r="288" spans="1:27" ht="42.75" x14ac:dyDescent="0.2">
      <c r="A288" s="23">
        <v>31</v>
      </c>
      <c r="B288" s="23" t="str">
        <f>Source!F173</f>
        <v>5.1-64-1</v>
      </c>
      <c r="C288" s="23" t="s">
        <v>266</v>
      </c>
      <c r="D288" s="24" t="str">
        <f>Source!H173</f>
        <v>1 комплект</v>
      </c>
      <c r="E288" s="10">
        <f>Source!I173</f>
        <v>1</v>
      </c>
      <c r="F288" s="26"/>
      <c r="G288" s="25"/>
      <c r="H288" s="10"/>
      <c r="I288" s="26"/>
      <c r="J288" s="10"/>
      <c r="K288" s="26"/>
      <c r="Q288">
        <f>ROUND((Source!DN173/100)*ROUND((Source!AF173*Source!AV173)*Source!I173, 2), 2)</f>
        <v>749.96</v>
      </c>
      <c r="R288">
        <f>Source!X173</f>
        <v>20067.8</v>
      </c>
      <c r="S288">
        <f>ROUND((Source!DO173/100)*ROUND((Source!AF173*Source!AV173)*Source!I173, 2), 2)</f>
        <v>699.96</v>
      </c>
      <c r="T288">
        <f>Source!Y173</f>
        <v>11753.99</v>
      </c>
      <c r="U288">
        <f>ROUND((175/100)*ROUND((Source!AE173*Source!AV173)*Source!I173, 2), 2)</f>
        <v>0</v>
      </c>
      <c r="V288">
        <f>ROUND((160/100)*ROUND(Source!CS173*Source!I173, 2), 2)</f>
        <v>0</v>
      </c>
    </row>
    <row r="289" spans="1:27" ht="14.25" x14ac:dyDescent="0.2">
      <c r="A289" s="23"/>
      <c r="B289" s="23"/>
      <c r="C289" s="23" t="s">
        <v>361</v>
      </c>
      <c r="D289" s="24"/>
      <c r="E289" s="10"/>
      <c r="F289" s="26">
        <f>Source!AO173</f>
        <v>999.94</v>
      </c>
      <c r="G289" s="25" t="str">
        <f>Source!DG173</f>
        <v/>
      </c>
      <c r="H289" s="10">
        <f>Source!AV173</f>
        <v>1</v>
      </c>
      <c r="I289" s="26">
        <f>ROUND((Source!AF173*Source!AV173)*Source!I173, 2)</f>
        <v>999.94</v>
      </c>
      <c r="J289" s="10">
        <f>IF(Source!BA173&lt;&gt; 0, Source!BA173, 1)</f>
        <v>28.67</v>
      </c>
      <c r="K289" s="26">
        <f>Source!S173</f>
        <v>28668.28</v>
      </c>
      <c r="W289">
        <f>I289</f>
        <v>999.94</v>
      </c>
    </row>
    <row r="290" spans="1:27" ht="14.25" x14ac:dyDescent="0.2">
      <c r="A290" s="23"/>
      <c r="B290" s="23"/>
      <c r="C290" s="23" t="s">
        <v>364</v>
      </c>
      <c r="D290" s="24" t="s">
        <v>365</v>
      </c>
      <c r="E290" s="10">
        <f>Source!DN173</f>
        <v>75</v>
      </c>
      <c r="F290" s="26"/>
      <c r="G290" s="25"/>
      <c r="H290" s="10"/>
      <c r="I290" s="26">
        <f>SUM(Q288:Q289)</f>
        <v>749.96</v>
      </c>
      <c r="J290" s="10">
        <f>Source!BZ173</f>
        <v>70</v>
      </c>
      <c r="K290" s="26">
        <f>SUM(R288:R289)</f>
        <v>20067.8</v>
      </c>
    </row>
    <row r="291" spans="1:27" ht="14.25" x14ac:dyDescent="0.2">
      <c r="A291" s="23"/>
      <c r="B291" s="23"/>
      <c r="C291" s="23" t="s">
        <v>366</v>
      </c>
      <c r="D291" s="24" t="s">
        <v>365</v>
      </c>
      <c r="E291" s="10">
        <f>Source!DO173</f>
        <v>70</v>
      </c>
      <c r="F291" s="26"/>
      <c r="G291" s="25"/>
      <c r="H291" s="10"/>
      <c r="I291" s="26">
        <f>SUM(S288:S290)</f>
        <v>699.96</v>
      </c>
      <c r="J291" s="10">
        <f>Source!CA173</f>
        <v>41</v>
      </c>
      <c r="K291" s="26">
        <f>SUM(T288:T290)</f>
        <v>11753.99</v>
      </c>
    </row>
    <row r="292" spans="1:27" ht="14.25" x14ac:dyDescent="0.2">
      <c r="A292" s="23"/>
      <c r="B292" s="23"/>
      <c r="C292" s="23" t="s">
        <v>368</v>
      </c>
      <c r="D292" s="24" t="s">
        <v>369</v>
      </c>
      <c r="E292" s="10">
        <f>Source!AQ173</f>
        <v>57</v>
      </c>
      <c r="F292" s="26"/>
      <c r="G292" s="25" t="str">
        <f>Source!DI173</f>
        <v/>
      </c>
      <c r="H292" s="10">
        <f>Source!AV173</f>
        <v>1</v>
      </c>
      <c r="I292" s="26">
        <f>Source!U173</f>
        <v>57</v>
      </c>
      <c r="J292" s="10"/>
      <c r="K292" s="26"/>
    </row>
    <row r="293" spans="1:27" ht="15" x14ac:dyDescent="0.25">
      <c r="A293" s="29"/>
      <c r="B293" s="29"/>
      <c r="C293" s="29"/>
      <c r="D293" s="29"/>
      <c r="E293" s="29"/>
      <c r="F293" s="29"/>
      <c r="G293" s="29"/>
      <c r="H293" s="41">
        <f>I289+I290+I291</f>
        <v>2449.86</v>
      </c>
      <c r="I293" s="41"/>
      <c r="J293" s="41">
        <f>K289+K290+K291</f>
        <v>60490.07</v>
      </c>
      <c r="K293" s="41"/>
      <c r="O293" s="28">
        <f>I289+I290+I291</f>
        <v>2449.86</v>
      </c>
      <c r="P293" s="28">
        <f>K289+K290+K291</f>
        <v>60490.07</v>
      </c>
      <c r="X293">
        <f>IF(Source!BI173&lt;=1,I289+I290+I291-0, 0)</f>
        <v>0</v>
      </c>
      <c r="Y293">
        <f>IF(Source!BI173=2,I289+I290+I291-0, 0)</f>
        <v>0</v>
      </c>
      <c r="Z293">
        <f>IF(Source!BI173=3,I289+I290+I291-0, 0)</f>
        <v>0</v>
      </c>
      <c r="AA293">
        <f>IF(Source!BI173=4,I289+I290+I291,0)</f>
        <v>2449.86</v>
      </c>
    </row>
    <row r="294" spans="1:27" ht="28.5" x14ac:dyDescent="0.2">
      <c r="A294" s="23">
        <v>32</v>
      </c>
      <c r="B294" s="23" t="str">
        <f>Source!F174</f>
        <v>5.1-151-2</v>
      </c>
      <c r="C294" s="23" t="s">
        <v>270</v>
      </c>
      <c r="D294" s="24" t="str">
        <f>Source!H174</f>
        <v>1 измерение</v>
      </c>
      <c r="E294" s="10">
        <f>Source!I174</f>
        <v>2</v>
      </c>
      <c r="F294" s="26"/>
      <c r="G294" s="25"/>
      <c r="H294" s="10"/>
      <c r="I294" s="26"/>
      <c r="J294" s="10"/>
      <c r="K294" s="26"/>
      <c r="Q294">
        <f>ROUND((Source!DN174/100)*ROUND((Source!AF174*Source!AV174)*Source!I174, 2), 2)</f>
        <v>42.74</v>
      </c>
      <c r="R294">
        <f>Source!X174</f>
        <v>1143.53</v>
      </c>
      <c r="S294">
        <f>ROUND((Source!DO174/100)*ROUND((Source!AF174*Source!AV174)*Source!I174, 2), 2)</f>
        <v>39.89</v>
      </c>
      <c r="T294">
        <f>Source!Y174</f>
        <v>669.78</v>
      </c>
      <c r="U294">
        <f>ROUND((175/100)*ROUND((Source!AE174*Source!AV174)*Source!I174, 2), 2)</f>
        <v>0</v>
      </c>
      <c r="V294">
        <f>ROUND((160/100)*ROUND(Source!CS174*Source!I174, 2), 2)</f>
        <v>0</v>
      </c>
    </row>
    <row r="295" spans="1:27" ht="14.25" x14ac:dyDescent="0.2">
      <c r="A295" s="23"/>
      <c r="B295" s="23"/>
      <c r="C295" s="23" t="s">
        <v>361</v>
      </c>
      <c r="D295" s="24"/>
      <c r="E295" s="10"/>
      <c r="F295" s="26">
        <f>Source!AO174</f>
        <v>28.49</v>
      </c>
      <c r="G295" s="25" t="str">
        <f>Source!DG174</f>
        <v/>
      </c>
      <c r="H295" s="10">
        <f>Source!AV174</f>
        <v>1</v>
      </c>
      <c r="I295" s="26">
        <f>ROUND((Source!AF174*Source!AV174)*Source!I174, 2)</f>
        <v>56.98</v>
      </c>
      <c r="J295" s="10">
        <f>IF(Source!BA174&lt;&gt; 0, Source!BA174, 1)</f>
        <v>28.67</v>
      </c>
      <c r="K295" s="26">
        <f>Source!S174</f>
        <v>1633.62</v>
      </c>
      <c r="W295">
        <f>I295</f>
        <v>56.98</v>
      </c>
    </row>
    <row r="296" spans="1:27" ht="14.25" x14ac:dyDescent="0.2">
      <c r="A296" s="23"/>
      <c r="B296" s="23"/>
      <c r="C296" s="23" t="s">
        <v>364</v>
      </c>
      <c r="D296" s="24" t="s">
        <v>365</v>
      </c>
      <c r="E296" s="10">
        <f>Source!DN174</f>
        <v>75</v>
      </c>
      <c r="F296" s="26"/>
      <c r="G296" s="25"/>
      <c r="H296" s="10"/>
      <c r="I296" s="26">
        <f>SUM(Q294:Q295)</f>
        <v>42.74</v>
      </c>
      <c r="J296" s="10">
        <f>Source!BZ174</f>
        <v>70</v>
      </c>
      <c r="K296" s="26">
        <f>SUM(R294:R295)</f>
        <v>1143.53</v>
      </c>
    </row>
    <row r="297" spans="1:27" ht="14.25" x14ac:dyDescent="0.2">
      <c r="A297" s="23"/>
      <c r="B297" s="23"/>
      <c r="C297" s="23" t="s">
        <v>366</v>
      </c>
      <c r="D297" s="24" t="s">
        <v>365</v>
      </c>
      <c r="E297" s="10">
        <f>Source!DO174</f>
        <v>70</v>
      </c>
      <c r="F297" s="26"/>
      <c r="G297" s="25"/>
      <c r="H297" s="10"/>
      <c r="I297" s="26">
        <f>SUM(S294:S296)</f>
        <v>39.89</v>
      </c>
      <c r="J297" s="10">
        <f>Source!CA174</f>
        <v>41</v>
      </c>
      <c r="K297" s="26">
        <f>SUM(T294:T296)</f>
        <v>669.78</v>
      </c>
    </row>
    <row r="298" spans="1:27" ht="14.25" x14ac:dyDescent="0.2">
      <c r="A298" s="23"/>
      <c r="B298" s="23"/>
      <c r="C298" s="23" t="s">
        <v>368</v>
      </c>
      <c r="D298" s="24" t="s">
        <v>369</v>
      </c>
      <c r="E298" s="10">
        <f>Source!AQ174</f>
        <v>1.8</v>
      </c>
      <c r="F298" s="26"/>
      <c r="G298" s="25" t="str">
        <f>Source!DI174</f>
        <v/>
      </c>
      <c r="H298" s="10">
        <f>Source!AV174</f>
        <v>1</v>
      </c>
      <c r="I298" s="26">
        <f>Source!U174</f>
        <v>3.6</v>
      </c>
      <c r="J298" s="10"/>
      <c r="K298" s="26"/>
    </row>
    <row r="299" spans="1:27" ht="15" x14ac:dyDescent="0.25">
      <c r="A299" s="29"/>
      <c r="B299" s="29"/>
      <c r="C299" s="29"/>
      <c r="D299" s="29"/>
      <c r="E299" s="29"/>
      <c r="F299" s="29"/>
      <c r="G299" s="29"/>
      <c r="H299" s="41">
        <f>I295+I296+I297</f>
        <v>139.61000000000001</v>
      </c>
      <c r="I299" s="41"/>
      <c r="J299" s="41">
        <f>K295+K296+K297</f>
        <v>3446.9299999999994</v>
      </c>
      <c r="K299" s="41"/>
      <c r="O299" s="28">
        <f>I295+I296+I297</f>
        <v>139.61000000000001</v>
      </c>
      <c r="P299" s="28">
        <f>K295+K296+K297</f>
        <v>3446.9299999999994</v>
      </c>
      <c r="X299">
        <f>IF(Source!BI174&lt;=1,I295+I296+I297-0, 0)</f>
        <v>0</v>
      </c>
      <c r="Y299">
        <f>IF(Source!BI174=2,I295+I296+I297-0, 0)</f>
        <v>0</v>
      </c>
      <c r="Z299">
        <f>IF(Source!BI174=3,I295+I296+I297-0, 0)</f>
        <v>0</v>
      </c>
      <c r="AA299">
        <f>IF(Source!BI174=4,I295+I296+I297,0)</f>
        <v>139.61000000000001</v>
      </c>
    </row>
    <row r="300" spans="1:27" ht="42.75" x14ac:dyDescent="0.2">
      <c r="A300" s="23">
        <v>33</v>
      </c>
      <c r="B300" s="23" t="str">
        <f>Source!F175</f>
        <v>5.1-152-1</v>
      </c>
      <c r="C300" s="23" t="s">
        <v>275</v>
      </c>
      <c r="D300" s="24" t="str">
        <f>Source!H175</f>
        <v>1 ТОЧКА</v>
      </c>
      <c r="E300" s="10">
        <f>Source!I175</f>
        <v>20</v>
      </c>
      <c r="F300" s="26"/>
      <c r="G300" s="25"/>
      <c r="H300" s="10"/>
      <c r="I300" s="26"/>
      <c r="J300" s="10"/>
      <c r="K300" s="26"/>
      <c r="Q300">
        <f>ROUND((Source!DN175/100)*ROUND((Source!AF175*Source!AV175)*Source!I175, 2), 2)</f>
        <v>35.549999999999997</v>
      </c>
      <c r="R300">
        <f>Source!X175</f>
        <v>951.27</v>
      </c>
      <c r="S300">
        <f>ROUND((Source!DO175/100)*ROUND((Source!AF175*Source!AV175)*Source!I175, 2), 2)</f>
        <v>33.18</v>
      </c>
      <c r="T300">
        <f>Source!Y175</f>
        <v>557.16999999999996</v>
      </c>
      <c r="U300">
        <f>ROUND((175/100)*ROUND((Source!AE175*Source!AV175)*Source!I175, 2), 2)</f>
        <v>0</v>
      </c>
      <c r="V300">
        <f>ROUND((160/100)*ROUND(Source!CS175*Source!I175, 2), 2)</f>
        <v>0</v>
      </c>
    </row>
    <row r="301" spans="1:27" ht="14.25" x14ac:dyDescent="0.2">
      <c r="A301" s="23"/>
      <c r="B301" s="23"/>
      <c r="C301" s="23" t="s">
        <v>361</v>
      </c>
      <c r="D301" s="24"/>
      <c r="E301" s="10"/>
      <c r="F301" s="26">
        <f>Source!AO175</f>
        <v>2.37</v>
      </c>
      <c r="G301" s="25" t="str">
        <f>Source!DG175</f>
        <v/>
      </c>
      <c r="H301" s="10">
        <f>Source!AV175</f>
        <v>1</v>
      </c>
      <c r="I301" s="26">
        <f>ROUND((Source!AF175*Source!AV175)*Source!I175, 2)</f>
        <v>47.4</v>
      </c>
      <c r="J301" s="10">
        <f>IF(Source!BA175&lt;&gt; 0, Source!BA175, 1)</f>
        <v>28.67</v>
      </c>
      <c r="K301" s="26">
        <f>Source!S175</f>
        <v>1358.96</v>
      </c>
      <c r="W301">
        <f>I301</f>
        <v>47.4</v>
      </c>
    </row>
    <row r="302" spans="1:27" ht="14.25" x14ac:dyDescent="0.2">
      <c r="A302" s="23"/>
      <c r="B302" s="23"/>
      <c r="C302" s="23" t="s">
        <v>364</v>
      </c>
      <c r="D302" s="24" t="s">
        <v>365</v>
      </c>
      <c r="E302" s="10">
        <f>Source!DN175</f>
        <v>75</v>
      </c>
      <c r="F302" s="26"/>
      <c r="G302" s="25"/>
      <c r="H302" s="10"/>
      <c r="I302" s="26">
        <f>SUM(Q300:Q301)</f>
        <v>35.549999999999997</v>
      </c>
      <c r="J302" s="10">
        <f>Source!BZ175</f>
        <v>70</v>
      </c>
      <c r="K302" s="26">
        <f>SUM(R300:R301)</f>
        <v>951.27</v>
      </c>
    </row>
    <row r="303" spans="1:27" ht="14.25" x14ac:dyDescent="0.2">
      <c r="A303" s="23"/>
      <c r="B303" s="23"/>
      <c r="C303" s="23" t="s">
        <v>366</v>
      </c>
      <c r="D303" s="24" t="s">
        <v>365</v>
      </c>
      <c r="E303" s="10">
        <f>Source!DO175</f>
        <v>70</v>
      </c>
      <c r="F303" s="26"/>
      <c r="G303" s="25"/>
      <c r="H303" s="10"/>
      <c r="I303" s="26">
        <f>SUM(S300:S302)</f>
        <v>33.18</v>
      </c>
      <c r="J303" s="10">
        <f>Source!CA175</f>
        <v>41</v>
      </c>
      <c r="K303" s="26">
        <f>SUM(T300:T302)</f>
        <v>557.16999999999996</v>
      </c>
    </row>
    <row r="304" spans="1:27" ht="14.25" x14ac:dyDescent="0.2">
      <c r="A304" s="23"/>
      <c r="B304" s="23"/>
      <c r="C304" s="23" t="s">
        <v>368</v>
      </c>
      <c r="D304" s="24" t="s">
        <v>369</v>
      </c>
      <c r="E304" s="10">
        <f>Source!AQ175</f>
        <v>0.15</v>
      </c>
      <c r="F304" s="26"/>
      <c r="G304" s="25" t="str">
        <f>Source!DI175</f>
        <v/>
      </c>
      <c r="H304" s="10">
        <f>Source!AV175</f>
        <v>1</v>
      </c>
      <c r="I304" s="26">
        <f>Source!U175</f>
        <v>3</v>
      </c>
      <c r="J304" s="10"/>
      <c r="K304" s="26"/>
    </row>
    <row r="305" spans="1:38" ht="15" x14ac:dyDescent="0.25">
      <c r="A305" s="29"/>
      <c r="B305" s="29"/>
      <c r="C305" s="29"/>
      <c r="D305" s="29"/>
      <c r="E305" s="29"/>
      <c r="F305" s="29"/>
      <c r="G305" s="29"/>
      <c r="H305" s="41">
        <f>I301+I302+I303</f>
        <v>116.13</v>
      </c>
      <c r="I305" s="41"/>
      <c r="J305" s="41">
        <f>K301+K302+K303</f>
        <v>2867.4</v>
      </c>
      <c r="K305" s="41"/>
      <c r="O305" s="28">
        <f>I301+I302+I303</f>
        <v>116.13</v>
      </c>
      <c r="P305" s="28">
        <f>K301+K302+K303</f>
        <v>2867.4</v>
      </c>
      <c r="X305">
        <f>IF(Source!BI175&lt;=1,I301+I302+I303-0, 0)</f>
        <v>0</v>
      </c>
      <c r="Y305">
        <f>IF(Source!BI175=2,I301+I302+I303-0, 0)</f>
        <v>0</v>
      </c>
      <c r="Z305">
        <f>IF(Source!BI175=3,I301+I302+I303-0, 0)</f>
        <v>0</v>
      </c>
      <c r="AA305">
        <f>IF(Source!BI175=4,I301+I302+I303,0)</f>
        <v>116.13</v>
      </c>
    </row>
    <row r="307" spans="1:38" ht="15" x14ac:dyDescent="0.25">
      <c r="A307" s="40" t="str">
        <f>CONCATENATE("Итого по разделу: ",IF(Source!G177&lt;&gt;"Новый раздел", Source!G177, ""))</f>
        <v>Итого по разделу: Пусконаладочные работы</v>
      </c>
      <c r="B307" s="40"/>
      <c r="C307" s="40"/>
      <c r="D307" s="40"/>
      <c r="E307" s="40"/>
      <c r="F307" s="40"/>
      <c r="G307" s="40"/>
      <c r="H307" s="38">
        <f>SUM(O227:O306)</f>
        <v>8902.81</v>
      </c>
      <c r="I307" s="39"/>
      <c r="J307" s="38">
        <f>SUM(P227:P306)</f>
        <v>219821.44000000003</v>
      </c>
      <c r="K307" s="39"/>
    </row>
    <row r="308" spans="1:38" hidden="1" x14ac:dyDescent="0.2">
      <c r="A308" t="s">
        <v>373</v>
      </c>
      <c r="H308">
        <f>SUM(AC227:AC307)</f>
        <v>0</v>
      </c>
      <c r="J308">
        <f>SUM(AD227:AD307)</f>
        <v>0</v>
      </c>
    </row>
    <row r="309" spans="1:38" hidden="1" x14ac:dyDescent="0.2">
      <c r="A309" t="s">
        <v>374</v>
      </c>
      <c r="H309">
        <f>SUM(AE227:AE308)</f>
        <v>0</v>
      </c>
      <c r="J309">
        <f>SUM(AF227:AF308)</f>
        <v>0</v>
      </c>
    </row>
    <row r="311" spans="1:38" ht="60" x14ac:dyDescent="0.25">
      <c r="A311" s="40" t="str">
        <f>CONCATENATE("Итого по локальной смете: ",IF(Source!G207&lt;&gt;"Новая локальная смета", Source!G207, ""))</f>
        <v>Итого по локальной смете: Реконструкция КТП-1370 с установкой новой подстанции в габаритах 630 кВА с трансформатором 630 кВА по адресу: г. Москва, пос. Рязановское, СНТ "Ветеран МО" (инв. № 43313749)", согласно ТУ от 29.12.2022 № И-22-00-587819/103/НМ от ПАО "Россети Московский регион"</v>
      </c>
      <c r="B311" s="40"/>
      <c r="C311" s="40"/>
      <c r="D311" s="40"/>
      <c r="E311" s="40"/>
      <c r="F311" s="40"/>
      <c r="G311" s="40"/>
      <c r="H311" s="38">
        <f>SUM(O34:O310)</f>
        <v>434087.5</v>
      </c>
      <c r="I311" s="39"/>
      <c r="J311" s="38">
        <f>SUM(P34:P310)</f>
        <v>2969253.19</v>
      </c>
      <c r="K311" s="39"/>
      <c r="AL311" s="33" t="str">
        <f>CONCATENATE("Итого по локальной смете: ",IF(Source!G207&lt;&gt;"Новая локальная смета", Source!G207, ""))</f>
        <v>Итого по локальной смете: Реконструкция КТП-1370 с установкой новой подстанции в габаритах 630 кВА с трансформатором 630 кВА по адресу: г. Москва, пос. Рязановское, СНТ "Ветеран МО" (инв. № 43313749)", согласно ТУ от 29.12.2022 № И-22-00-587819/103/НМ от ПАО "Россети Московский регион"</v>
      </c>
    </row>
    <row r="312" spans="1:38" hidden="1" x14ac:dyDescent="0.2">
      <c r="A312" t="s">
        <v>373</v>
      </c>
      <c r="H312">
        <f>SUM(AC34:AC311)</f>
        <v>0</v>
      </c>
      <c r="J312">
        <f>SUM(AD34:AD311)</f>
        <v>0</v>
      </c>
    </row>
    <row r="313" spans="1:38" hidden="1" x14ac:dyDescent="0.2">
      <c r="A313" t="s">
        <v>374</v>
      </c>
      <c r="H313">
        <f>SUM(AE34:AE312)</f>
        <v>0</v>
      </c>
      <c r="J313">
        <f>SUM(AF34:AF312)</f>
        <v>0</v>
      </c>
    </row>
    <row r="315" spans="1:38" ht="15" x14ac:dyDescent="0.25">
      <c r="A315" s="40" t="str">
        <f>CONCATENATE("Итого по смете: ",IF(Source!G237&lt;&gt;"Новый объект", Source!G237, ""))</f>
        <v>Итого по смете: Рек-ция КТП-1370 Ветеран МО</v>
      </c>
      <c r="B315" s="40"/>
      <c r="C315" s="40"/>
      <c r="D315" s="40"/>
      <c r="E315" s="40"/>
      <c r="F315" s="40"/>
      <c r="G315" s="40"/>
      <c r="H315" s="38">
        <f>SUM(O1:O314)</f>
        <v>434087.5</v>
      </c>
      <c r="I315" s="39"/>
      <c r="J315" s="38">
        <f>SUM(P1:P314)</f>
        <v>2969253.19</v>
      </c>
      <c r="K315" s="39"/>
    </row>
    <row r="316" spans="1:38" ht="18" customHeight="1" x14ac:dyDescent="0.25">
      <c r="C316" s="57" t="s">
        <v>382</v>
      </c>
      <c r="D316" s="57"/>
      <c r="E316" s="57"/>
      <c r="F316" s="57"/>
      <c r="G316" s="58"/>
      <c r="H316" s="58"/>
      <c r="I316" s="58"/>
      <c r="J316" s="59">
        <v>16126.67</v>
      </c>
      <c r="K316" s="59"/>
    </row>
    <row r="317" spans="1:38" ht="18" customHeight="1" x14ac:dyDescent="0.25">
      <c r="C317" s="57" t="s">
        <v>383</v>
      </c>
      <c r="D317" s="57"/>
      <c r="E317" s="57"/>
      <c r="F317" s="57"/>
      <c r="G317" s="58"/>
      <c r="H317" s="58"/>
      <c r="I317" s="58"/>
      <c r="J317" s="59">
        <v>243035.1</v>
      </c>
      <c r="K317" s="59"/>
    </row>
    <row r="318" spans="1:38" ht="18" customHeight="1" x14ac:dyDescent="0.25">
      <c r="C318" s="58" t="s">
        <v>384</v>
      </c>
      <c r="D318" s="58"/>
      <c r="E318" s="58"/>
      <c r="F318" s="60"/>
      <c r="G318" s="58"/>
      <c r="H318" s="58"/>
      <c r="I318" s="58"/>
      <c r="J318" s="59">
        <f>J317+J316+J315</f>
        <v>3228414.96</v>
      </c>
      <c r="K318" s="59"/>
    </row>
    <row r="319" spans="1:38" ht="18" customHeight="1" x14ac:dyDescent="0.25">
      <c r="C319" s="58" t="s">
        <v>385</v>
      </c>
      <c r="D319" s="61">
        <v>0.2</v>
      </c>
      <c r="E319" s="58"/>
      <c r="F319" s="60"/>
      <c r="G319" s="58"/>
      <c r="H319" s="58"/>
      <c r="I319" s="58"/>
      <c r="J319" s="59">
        <f>0.2*J318</f>
        <v>645682.99200000009</v>
      </c>
      <c r="K319" s="59"/>
    </row>
    <row r="320" spans="1:38" ht="21" customHeight="1" x14ac:dyDescent="0.25">
      <c r="C320" s="40" t="s">
        <v>386</v>
      </c>
      <c r="D320" s="40"/>
      <c r="E320" s="40"/>
      <c r="F320" s="40"/>
      <c r="G320" s="40"/>
      <c r="H320" s="40"/>
      <c r="I320" s="40"/>
      <c r="J320" s="38">
        <f>J319+J318</f>
        <v>3874097.952</v>
      </c>
      <c r="K320" s="38"/>
    </row>
    <row r="323" spans="1:11" ht="14.25" x14ac:dyDescent="0.2">
      <c r="A323" s="35" t="s">
        <v>379</v>
      </c>
      <c r="B323" s="35"/>
      <c r="C323" s="34" t="str">
        <f>IF(Source!AC12&lt;&gt;"", Source!AC12," ")</f>
        <v xml:space="preserve"> </v>
      </c>
      <c r="D323" s="34"/>
      <c r="E323" s="34"/>
      <c r="F323" s="34"/>
      <c r="G323" s="34"/>
      <c r="H323" s="36" t="str">
        <f>IF(Source!AB12&lt;&gt;"", Source!AB12," ")</f>
        <v xml:space="preserve"> </v>
      </c>
      <c r="I323" s="36"/>
      <c r="J323" s="36"/>
      <c r="K323" s="36"/>
    </row>
    <row r="324" spans="1:11" ht="14.25" x14ac:dyDescent="0.2">
      <c r="A324" s="11"/>
      <c r="B324" s="11"/>
      <c r="C324" s="37" t="s">
        <v>380</v>
      </c>
      <c r="D324" s="37"/>
      <c r="E324" s="37"/>
      <c r="F324" s="37"/>
      <c r="G324" s="37"/>
      <c r="H324" s="11"/>
      <c r="I324" s="11"/>
      <c r="J324" s="11"/>
      <c r="K324" s="11"/>
    </row>
    <row r="325" spans="1:11" ht="14.25" x14ac:dyDescent="0.2">
      <c r="A325" s="11"/>
      <c r="B325" s="11"/>
      <c r="C325" s="11"/>
      <c r="D325" s="11"/>
      <c r="E325" s="11"/>
      <c r="F325" s="11"/>
      <c r="G325" s="11"/>
      <c r="H325" s="11"/>
      <c r="I325" s="11"/>
      <c r="J325" s="11"/>
      <c r="K325" s="11"/>
    </row>
    <row r="326" spans="1:11" ht="14.25" x14ac:dyDescent="0.2">
      <c r="A326" s="35" t="s">
        <v>381</v>
      </c>
      <c r="B326" s="35"/>
      <c r="C326" s="34" t="str">
        <f>IF(Source!AE12&lt;&gt;"", Source!AE12," ")</f>
        <v xml:space="preserve"> </v>
      </c>
      <c r="D326" s="34"/>
      <c r="E326" s="34"/>
      <c r="F326" s="34"/>
      <c r="G326" s="34"/>
      <c r="H326" s="36" t="str">
        <f>IF(Source!AD12&lt;&gt;"", Source!AD12," ")</f>
        <v xml:space="preserve"> </v>
      </c>
      <c r="I326" s="36"/>
      <c r="J326" s="36"/>
      <c r="K326" s="36"/>
    </row>
    <row r="327" spans="1:11" ht="14.25" x14ac:dyDescent="0.2">
      <c r="A327" s="11"/>
      <c r="B327" s="11"/>
      <c r="C327" s="37" t="s">
        <v>380</v>
      </c>
      <c r="D327" s="37"/>
      <c r="E327" s="37"/>
      <c r="F327" s="37"/>
      <c r="G327" s="37"/>
      <c r="H327" s="11"/>
      <c r="I327" s="11"/>
      <c r="J327" s="11"/>
      <c r="K327" s="11"/>
    </row>
  </sheetData>
  <mergeCells count="128">
    <mergeCell ref="B7:E7"/>
    <mergeCell ref="G7:K7"/>
    <mergeCell ref="J2:K2"/>
    <mergeCell ref="A10:K10"/>
    <mergeCell ref="A11:K11"/>
    <mergeCell ref="A13:K13"/>
    <mergeCell ref="B3:E3"/>
    <mergeCell ref="G3:K3"/>
    <mergeCell ref="B4:E4"/>
    <mergeCell ref="G4:K4"/>
    <mergeCell ref="B6:E6"/>
    <mergeCell ref="G6:K6"/>
    <mergeCell ref="F24:H24"/>
    <mergeCell ref="F25:H25"/>
    <mergeCell ref="F26:H26"/>
    <mergeCell ref="F27:H27"/>
    <mergeCell ref="F28:H28"/>
    <mergeCell ref="F29:H29"/>
    <mergeCell ref="A14:K14"/>
    <mergeCell ref="A16:K16"/>
    <mergeCell ref="A18:K18"/>
    <mergeCell ref="A19:K19"/>
    <mergeCell ref="A21:K21"/>
    <mergeCell ref="F23:H23"/>
    <mergeCell ref="A84:G84"/>
    <mergeCell ref="A88:K88"/>
    <mergeCell ref="J63:K63"/>
    <mergeCell ref="H63:I63"/>
    <mergeCell ref="J72:K72"/>
    <mergeCell ref="H72:I72"/>
    <mergeCell ref="J79:K79"/>
    <mergeCell ref="H79:I79"/>
    <mergeCell ref="F30:H30"/>
    <mergeCell ref="A31:K31"/>
    <mergeCell ref="A35:K35"/>
    <mergeCell ref="J44:K44"/>
    <mergeCell ref="H44:I44"/>
    <mergeCell ref="J54:K54"/>
    <mergeCell ref="H54:I54"/>
    <mergeCell ref="J100:K100"/>
    <mergeCell ref="H100:I100"/>
    <mergeCell ref="J111:K111"/>
    <mergeCell ref="H111:I111"/>
    <mergeCell ref="J121:K121"/>
    <mergeCell ref="H121:I121"/>
    <mergeCell ref="J82:K82"/>
    <mergeCell ref="H82:I82"/>
    <mergeCell ref="J84:K84"/>
    <mergeCell ref="H84:I84"/>
    <mergeCell ref="J164:K164"/>
    <mergeCell ref="H164:I164"/>
    <mergeCell ref="J172:K172"/>
    <mergeCell ref="H172:I172"/>
    <mergeCell ref="J178:K178"/>
    <mergeCell ref="H178:I178"/>
    <mergeCell ref="J133:K133"/>
    <mergeCell ref="H133:I133"/>
    <mergeCell ref="J143:K143"/>
    <mergeCell ref="H143:I143"/>
    <mergeCell ref="J154:K154"/>
    <mergeCell ref="H154:I154"/>
    <mergeCell ref="A223:G223"/>
    <mergeCell ref="A227:K227"/>
    <mergeCell ref="J213:K213"/>
    <mergeCell ref="H213:I213"/>
    <mergeCell ref="A213:G213"/>
    <mergeCell ref="A217:K217"/>
    <mergeCell ref="J219:K219"/>
    <mergeCell ref="H219:I219"/>
    <mergeCell ref="J189:K189"/>
    <mergeCell ref="H189:I189"/>
    <mergeCell ref="J200:K200"/>
    <mergeCell ref="H200:I200"/>
    <mergeCell ref="J211:K211"/>
    <mergeCell ref="H211:I211"/>
    <mergeCell ref="J233:K233"/>
    <mergeCell ref="H233:I233"/>
    <mergeCell ref="J239:K239"/>
    <mergeCell ref="H239:I239"/>
    <mergeCell ref="J245:K245"/>
    <mergeCell ref="H245:I245"/>
    <mergeCell ref="J221:K221"/>
    <mergeCell ref="H221:I221"/>
    <mergeCell ref="J223:K223"/>
    <mergeCell ref="H223:I223"/>
    <mergeCell ref="J269:K269"/>
    <mergeCell ref="H269:I269"/>
    <mergeCell ref="J275:K275"/>
    <mergeCell ref="H275:I275"/>
    <mergeCell ref="J281:K281"/>
    <mergeCell ref="H281:I281"/>
    <mergeCell ref="J251:K251"/>
    <mergeCell ref="H251:I251"/>
    <mergeCell ref="J257:K257"/>
    <mergeCell ref="H257:I257"/>
    <mergeCell ref="J263:K263"/>
    <mergeCell ref="H263:I263"/>
    <mergeCell ref="J305:K305"/>
    <mergeCell ref="H305:I305"/>
    <mergeCell ref="J307:K307"/>
    <mergeCell ref="H307:I307"/>
    <mergeCell ref="A307:G307"/>
    <mergeCell ref="J311:K311"/>
    <mergeCell ref="H311:I311"/>
    <mergeCell ref="A311:G311"/>
    <mergeCell ref="J287:K287"/>
    <mergeCell ref="H287:I287"/>
    <mergeCell ref="J293:K293"/>
    <mergeCell ref="H293:I293"/>
    <mergeCell ref="J299:K299"/>
    <mergeCell ref="H299:I299"/>
    <mergeCell ref="A326:B326"/>
    <mergeCell ref="H326:K326"/>
    <mergeCell ref="C327:G327"/>
    <mergeCell ref="J315:K315"/>
    <mergeCell ref="H315:I315"/>
    <mergeCell ref="A315:G315"/>
    <mergeCell ref="A323:B323"/>
    <mergeCell ref="H323:K323"/>
    <mergeCell ref="C324:G324"/>
    <mergeCell ref="C316:F316"/>
    <mergeCell ref="J316:K316"/>
    <mergeCell ref="C317:F317"/>
    <mergeCell ref="J317:K317"/>
    <mergeCell ref="J318:K318"/>
    <mergeCell ref="J319:K319"/>
    <mergeCell ref="C320:I320"/>
    <mergeCell ref="J320:K320"/>
  </mergeCells>
  <pageMargins left="0.4" right="0.2" top="0.2" bottom="0.4" header="0.2" footer="0.2"/>
  <pageSetup paperSize="9" scale="71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277"/>
  <sheetViews>
    <sheetView workbookViewId="0">
      <selection activeCell="A273" sqref="A273:AN273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34137</v>
      </c>
      <c r="M1">
        <v>10</v>
      </c>
      <c r="N1">
        <v>11</v>
      </c>
      <c r="O1">
        <v>6</v>
      </c>
      <c r="P1">
        <v>1</v>
      </c>
      <c r="Q1">
        <v>0</v>
      </c>
    </row>
    <row r="12" spans="1:133" x14ac:dyDescent="0.2">
      <c r="A12" s="1">
        <v>1</v>
      </c>
      <c r="B12" s="1">
        <v>272</v>
      </c>
      <c r="C12" s="1">
        <v>0</v>
      </c>
      <c r="D12" s="1">
        <f>ROW(A237)</f>
        <v>237</v>
      </c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160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0</v>
      </c>
      <c r="BK12" s="1">
        <v>0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1</v>
      </c>
      <c r="BU12" s="1">
        <v>0</v>
      </c>
      <c r="BV12" s="1">
        <v>1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8200</v>
      </c>
      <c r="CI12" s="1" t="s">
        <v>3</v>
      </c>
      <c r="CJ12" s="1" t="s">
        <v>3</v>
      </c>
      <c r="CK12" s="1">
        <v>66</v>
      </c>
      <c r="CL12" s="1"/>
      <c r="CM12" s="1"/>
      <c r="CN12" s="1"/>
      <c r="CO12" s="1"/>
      <c r="CP12" s="1"/>
      <c r="CQ12" s="1" t="s">
        <v>12</v>
      </c>
      <c r="CR12" s="1" t="s">
        <v>13</v>
      </c>
      <c r="CS12" s="1">
        <v>41660</v>
      </c>
      <c r="CT12" s="1">
        <v>1</v>
      </c>
      <c r="CU12" s="1">
        <v>66</v>
      </c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B237</f>
        <v>272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</v>
      </c>
      <c r="G18" s="2" t="str">
        <f t="shared" si="0"/>
        <v>Рек-ция КТП-1370 Ветеран МО</v>
      </c>
      <c r="H18" s="2"/>
      <c r="I18" s="2"/>
      <c r="J18" s="2"/>
      <c r="K18" s="2"/>
      <c r="L18" s="2"/>
      <c r="M18" s="2"/>
      <c r="N18" s="2"/>
      <c r="O18" s="2">
        <f t="shared" ref="O18:AT18" si="1">O237</f>
        <v>2775461.85</v>
      </c>
      <c r="P18" s="2">
        <f t="shared" si="1"/>
        <v>2605634.96</v>
      </c>
      <c r="Q18" s="2">
        <f t="shared" si="1"/>
        <v>16175.52</v>
      </c>
      <c r="R18" s="2">
        <f t="shared" si="1"/>
        <v>6683.02</v>
      </c>
      <c r="S18" s="2">
        <f t="shared" si="1"/>
        <v>153651.37</v>
      </c>
      <c r="T18" s="2">
        <f t="shared" si="1"/>
        <v>0</v>
      </c>
      <c r="U18" s="2">
        <f t="shared" si="1"/>
        <v>367.59637970999995</v>
      </c>
      <c r="V18" s="2">
        <f t="shared" si="1"/>
        <v>0</v>
      </c>
      <c r="W18" s="2">
        <f t="shared" si="1"/>
        <v>0</v>
      </c>
      <c r="X18" s="2">
        <f t="shared" si="1"/>
        <v>118862.46</v>
      </c>
      <c r="Y18" s="2">
        <f t="shared" si="1"/>
        <v>64236.05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2560225.0299999998</v>
      </c>
      <c r="AQ18" s="2">
        <f t="shared" si="1"/>
        <v>0</v>
      </c>
      <c r="AR18" s="2">
        <f t="shared" si="1"/>
        <v>2969253.19</v>
      </c>
      <c r="AS18" s="2">
        <f t="shared" si="1"/>
        <v>72955.61</v>
      </c>
      <c r="AT18" s="2">
        <f t="shared" si="1"/>
        <v>114079.89</v>
      </c>
      <c r="AU18" s="2">
        <f t="shared" ref="AU18:BZ18" si="2">AU237</f>
        <v>221992.66</v>
      </c>
      <c r="AV18" s="2">
        <f t="shared" si="2"/>
        <v>2605634.96</v>
      </c>
      <c r="AW18" s="2">
        <f t="shared" si="2"/>
        <v>45409.93</v>
      </c>
      <c r="AX18" s="2">
        <f t="shared" si="2"/>
        <v>0</v>
      </c>
      <c r="AY18" s="2">
        <f t="shared" si="2"/>
        <v>45409.93</v>
      </c>
      <c r="AZ18" s="2">
        <f t="shared" si="2"/>
        <v>2560225.0299999998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CA237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DG237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EM237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FS237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ROW(A207)</f>
        <v>207</v>
      </c>
      <c r="E20" s="1"/>
      <c r="F20" s="1" t="s">
        <v>14</v>
      </c>
      <c r="G20" s="1" t="s">
        <v>331</v>
      </c>
      <c r="H20" s="1" t="s">
        <v>3</v>
      </c>
      <c r="I20" s="1">
        <v>0</v>
      </c>
      <c r="J20" s="1" t="s">
        <v>3</v>
      </c>
      <c r="K20" s="1">
        <v>-1</v>
      </c>
      <c r="L20" s="1" t="s">
        <v>3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">
      <c r="A22" s="2">
        <v>52</v>
      </c>
      <c r="B22" s="2">
        <f t="shared" ref="B22:G22" si="7">B207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>Новая локальная смета</v>
      </c>
      <c r="G22" s="2" t="str">
        <f t="shared" si="7"/>
        <v>Реконструкция КТП-1370 с установкой новой подстанции в габаритах 630 кВА с трансформатором 630 кВА по адресу: г. Москва, пос. Рязановское, СНТ "Ветеран МО" (инв. № 43313749)", согласно ТУ от 29.12.2022 № И-22-00-587819/103/НМ от ПАО "Россети Московский регион"</v>
      </c>
      <c r="H22" s="2"/>
      <c r="I22" s="2"/>
      <c r="J22" s="2"/>
      <c r="K22" s="2"/>
      <c r="L22" s="2"/>
      <c r="M22" s="2"/>
      <c r="N22" s="2"/>
      <c r="O22" s="2">
        <f t="shared" ref="O22:AT22" si="8">O207</f>
        <v>2775461.85</v>
      </c>
      <c r="P22" s="2">
        <f t="shared" si="8"/>
        <v>2605634.96</v>
      </c>
      <c r="Q22" s="2">
        <f t="shared" si="8"/>
        <v>16175.52</v>
      </c>
      <c r="R22" s="2">
        <f t="shared" si="8"/>
        <v>6683.02</v>
      </c>
      <c r="S22" s="2">
        <f t="shared" si="8"/>
        <v>153651.37</v>
      </c>
      <c r="T22" s="2">
        <f t="shared" si="8"/>
        <v>0</v>
      </c>
      <c r="U22" s="2">
        <f t="shared" si="8"/>
        <v>367.59637970999995</v>
      </c>
      <c r="V22" s="2">
        <f t="shared" si="8"/>
        <v>0</v>
      </c>
      <c r="W22" s="2">
        <f t="shared" si="8"/>
        <v>0</v>
      </c>
      <c r="X22" s="2">
        <f t="shared" si="8"/>
        <v>118862.46</v>
      </c>
      <c r="Y22" s="2">
        <f t="shared" si="8"/>
        <v>64236.05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2560225.0299999998</v>
      </c>
      <c r="AQ22" s="2">
        <f t="shared" si="8"/>
        <v>0</v>
      </c>
      <c r="AR22" s="2">
        <f t="shared" si="8"/>
        <v>2969253.19</v>
      </c>
      <c r="AS22" s="2">
        <f t="shared" si="8"/>
        <v>72955.61</v>
      </c>
      <c r="AT22" s="2">
        <f t="shared" si="8"/>
        <v>114079.89</v>
      </c>
      <c r="AU22" s="2">
        <f t="shared" ref="AU22:BZ22" si="9">AU207</f>
        <v>221992.66</v>
      </c>
      <c r="AV22" s="2">
        <f t="shared" si="9"/>
        <v>2605634.96</v>
      </c>
      <c r="AW22" s="2">
        <f t="shared" si="9"/>
        <v>45409.93</v>
      </c>
      <c r="AX22" s="2">
        <f t="shared" si="9"/>
        <v>0</v>
      </c>
      <c r="AY22" s="2">
        <f t="shared" si="9"/>
        <v>45409.93</v>
      </c>
      <c r="AZ22" s="2">
        <f t="shared" si="9"/>
        <v>2560225.0299999998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CA207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DG207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EM207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FS207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ROW(A35)</f>
        <v>35</v>
      </c>
      <c r="E24" s="1"/>
      <c r="F24" s="1" t="s">
        <v>15</v>
      </c>
      <c r="G24" s="1" t="s">
        <v>16</v>
      </c>
      <c r="H24" s="1" t="s">
        <v>3</v>
      </c>
      <c r="I24" s="1">
        <v>0</v>
      </c>
      <c r="J24" s="1"/>
      <c r="K24" s="1">
        <v>0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B35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Демонтажные работы</v>
      </c>
      <c r="H26" s="2"/>
      <c r="I26" s="2"/>
      <c r="J26" s="2"/>
      <c r="K26" s="2"/>
      <c r="L26" s="2"/>
      <c r="M26" s="2"/>
      <c r="N26" s="2"/>
      <c r="O26" s="2">
        <f t="shared" ref="O26:AT26" si="15">O35</f>
        <v>14375.55</v>
      </c>
      <c r="P26" s="2">
        <f t="shared" si="15"/>
        <v>0</v>
      </c>
      <c r="Q26" s="2">
        <f t="shared" si="15"/>
        <v>4707.38</v>
      </c>
      <c r="R26" s="2">
        <f t="shared" si="15"/>
        <v>1246.8499999999999</v>
      </c>
      <c r="S26" s="2">
        <f t="shared" si="15"/>
        <v>9668.17</v>
      </c>
      <c r="T26" s="2">
        <f t="shared" si="15"/>
        <v>0</v>
      </c>
      <c r="U26" s="2">
        <f t="shared" si="15"/>
        <v>28.958516249999995</v>
      </c>
      <c r="V26" s="2">
        <f t="shared" si="15"/>
        <v>0</v>
      </c>
      <c r="W26" s="2">
        <f t="shared" si="15"/>
        <v>0</v>
      </c>
      <c r="X26" s="2">
        <f t="shared" si="15"/>
        <v>8708.09</v>
      </c>
      <c r="Y26" s="2">
        <f t="shared" si="15"/>
        <v>4192.57</v>
      </c>
      <c r="Z26" s="2">
        <f t="shared" si="15"/>
        <v>0</v>
      </c>
      <c r="AA26" s="2">
        <f t="shared" si="15"/>
        <v>0</v>
      </c>
      <c r="AB26" s="2">
        <f t="shared" si="15"/>
        <v>14375.55</v>
      </c>
      <c r="AC26" s="2">
        <f t="shared" si="15"/>
        <v>0</v>
      </c>
      <c r="AD26" s="2">
        <f t="shared" si="15"/>
        <v>4707.38</v>
      </c>
      <c r="AE26" s="2">
        <f t="shared" si="15"/>
        <v>1246.8499999999999</v>
      </c>
      <c r="AF26" s="2">
        <f t="shared" si="15"/>
        <v>9668.17</v>
      </c>
      <c r="AG26" s="2">
        <f t="shared" si="15"/>
        <v>0</v>
      </c>
      <c r="AH26" s="2">
        <f t="shared" si="15"/>
        <v>28.958516249999995</v>
      </c>
      <c r="AI26" s="2">
        <f t="shared" si="15"/>
        <v>0</v>
      </c>
      <c r="AJ26" s="2">
        <f t="shared" si="15"/>
        <v>0</v>
      </c>
      <c r="AK26" s="2">
        <f t="shared" si="15"/>
        <v>8708.09</v>
      </c>
      <c r="AL26" s="2">
        <f t="shared" si="15"/>
        <v>4192.57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29271.17</v>
      </c>
      <c r="AS26" s="2">
        <f t="shared" si="15"/>
        <v>7785.35</v>
      </c>
      <c r="AT26" s="2">
        <f t="shared" si="15"/>
        <v>19314.599999999999</v>
      </c>
      <c r="AU26" s="2">
        <f t="shared" ref="AU26:BZ26" si="16">AU35</f>
        <v>2171.2199999999998</v>
      </c>
      <c r="AV26" s="2">
        <f t="shared" si="16"/>
        <v>0</v>
      </c>
      <c r="AW26" s="2">
        <f t="shared" si="16"/>
        <v>0</v>
      </c>
      <c r="AX26" s="2">
        <f t="shared" si="16"/>
        <v>0</v>
      </c>
      <c r="AY26" s="2">
        <f t="shared" si="16"/>
        <v>0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CA35</f>
        <v>29271.17</v>
      </c>
      <c r="CB26" s="2">
        <f t="shared" si="17"/>
        <v>7785.35</v>
      </c>
      <c r="CC26" s="2">
        <f t="shared" si="17"/>
        <v>19314.599999999999</v>
      </c>
      <c r="CD26" s="2">
        <f t="shared" si="17"/>
        <v>2171.2199999999998</v>
      </c>
      <c r="CE26" s="2">
        <f t="shared" si="17"/>
        <v>0</v>
      </c>
      <c r="CF26" s="2">
        <f t="shared" si="17"/>
        <v>0</v>
      </c>
      <c r="CG26" s="2">
        <f t="shared" si="17"/>
        <v>0</v>
      </c>
      <c r="CH26" s="2">
        <f t="shared" si="17"/>
        <v>0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DG35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EM35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FS35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17</v>
      </c>
      <c r="B28">
        <v>1</v>
      </c>
      <c r="C28">
        <f>ROW(SmtRes!A4)</f>
        <v>4</v>
      </c>
      <c r="D28">
        <f>ROW(EtalonRes!A4)</f>
        <v>4</v>
      </c>
      <c r="E28" t="s">
        <v>17</v>
      </c>
      <c r="F28" t="s">
        <v>18</v>
      </c>
      <c r="G28" t="s">
        <v>19</v>
      </c>
      <c r="H28" t="s">
        <v>20</v>
      </c>
      <c r="I28">
        <v>7.0000000000000007E-2</v>
      </c>
      <c r="J28">
        <v>0</v>
      </c>
      <c r="K28">
        <v>7.0000000000000007E-2</v>
      </c>
      <c r="O28">
        <f t="shared" ref="O28:O33" si="21">ROUND(CP28,2)</f>
        <v>782.42</v>
      </c>
      <c r="P28">
        <f t="shared" ref="P28:P33" si="22">ROUND(CQ28*I28,2)</f>
        <v>0</v>
      </c>
      <c r="Q28">
        <f t="shared" ref="Q28:Q33" si="23">ROUND(CR28*I28,2)</f>
        <v>155.57</v>
      </c>
      <c r="R28">
        <f t="shared" ref="R28:R33" si="24">ROUND(CS28*I28,2)</f>
        <v>57.47</v>
      </c>
      <c r="S28">
        <f t="shared" ref="S28:S33" si="25">ROUND(CT28*I28,2)</f>
        <v>626.85</v>
      </c>
      <c r="T28">
        <f t="shared" ref="T28:T33" si="26">ROUND(CU28*I28,2)</f>
        <v>0</v>
      </c>
      <c r="U28">
        <f t="shared" ref="U28:U33" si="27">CV28*I28</f>
        <v>1.8832275000000003</v>
      </c>
      <c r="V28">
        <f t="shared" ref="V28:V33" si="28">CW28*I28</f>
        <v>0</v>
      </c>
      <c r="W28">
        <f t="shared" ref="W28:W33" si="29">ROUND(CX28*I28,2)</f>
        <v>0</v>
      </c>
      <c r="X28">
        <f t="shared" ref="X28:Y33" si="30">ROUND(CY28,2)</f>
        <v>796.1</v>
      </c>
      <c r="Y28">
        <f t="shared" si="30"/>
        <v>357.3</v>
      </c>
      <c r="AA28">
        <v>59267179</v>
      </c>
      <c r="AB28">
        <f t="shared" ref="AB28:AB33" si="31">ROUND((AC28+AD28+AF28),6)</f>
        <v>484.69200000000001</v>
      </c>
      <c r="AC28">
        <f>ROUND(((ES28*0)),6)</f>
        <v>0</v>
      </c>
      <c r="AD28">
        <f t="shared" ref="AD28:AF31" si="32">ROUND(((ET28*0.3)),6)</f>
        <v>197.346</v>
      </c>
      <c r="AE28">
        <f t="shared" si="32"/>
        <v>26.346</v>
      </c>
      <c r="AF28">
        <f t="shared" si="32"/>
        <v>287.346</v>
      </c>
      <c r="AG28">
        <f t="shared" ref="AG28:AG33" si="33">ROUND((AP28),6)</f>
        <v>0</v>
      </c>
      <c r="AH28">
        <f t="shared" ref="AH28:AI31" si="34">((EW28*0.3))</f>
        <v>24.75</v>
      </c>
      <c r="AI28">
        <f t="shared" si="34"/>
        <v>0</v>
      </c>
      <c r="AJ28">
        <f t="shared" ref="AJ28:AJ33" si="35">(AS28)</f>
        <v>0</v>
      </c>
      <c r="AK28">
        <v>1615.64</v>
      </c>
      <c r="AL28">
        <v>0</v>
      </c>
      <c r="AM28">
        <v>657.82</v>
      </c>
      <c r="AN28">
        <v>87.82</v>
      </c>
      <c r="AO28">
        <v>957.82</v>
      </c>
      <c r="AP28">
        <v>0</v>
      </c>
      <c r="AQ28">
        <v>82.5</v>
      </c>
      <c r="AR28">
        <v>0</v>
      </c>
      <c r="AS28">
        <v>0</v>
      </c>
      <c r="AT28">
        <v>127</v>
      </c>
      <c r="AU28">
        <v>57</v>
      </c>
      <c r="AV28">
        <v>1.087</v>
      </c>
      <c r="AW28">
        <v>1.0029999999999999</v>
      </c>
      <c r="AZ28">
        <v>1</v>
      </c>
      <c r="BA28">
        <v>28.67</v>
      </c>
      <c r="BB28">
        <v>10.36</v>
      </c>
      <c r="BC28">
        <v>1</v>
      </c>
      <c r="BD28" t="s">
        <v>3</v>
      </c>
      <c r="BE28" t="s">
        <v>3</v>
      </c>
      <c r="BF28" t="s">
        <v>3</v>
      </c>
      <c r="BG28" t="s">
        <v>3</v>
      </c>
      <c r="BH28">
        <v>0</v>
      </c>
      <c r="BI28">
        <v>1</v>
      </c>
      <c r="BJ28" t="s">
        <v>21</v>
      </c>
      <c r="BM28">
        <v>55</v>
      </c>
      <c r="BN28">
        <v>0</v>
      </c>
      <c r="BO28" t="s">
        <v>18</v>
      </c>
      <c r="BP28">
        <v>1</v>
      </c>
      <c r="BQ28">
        <v>30</v>
      </c>
      <c r="BR28">
        <v>0</v>
      </c>
      <c r="BS28">
        <v>28.67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127</v>
      </c>
      <c r="CA28">
        <v>57</v>
      </c>
      <c r="CB28" t="s">
        <v>3</v>
      </c>
      <c r="CE28">
        <v>0</v>
      </c>
      <c r="CF28">
        <v>0</v>
      </c>
      <c r="CG28">
        <v>0</v>
      </c>
      <c r="CM28">
        <v>0</v>
      </c>
      <c r="CN28" t="s">
        <v>22</v>
      </c>
      <c r="CO28">
        <v>0</v>
      </c>
      <c r="CP28">
        <f t="shared" ref="CP28:CP33" si="36">(P28+Q28+S28)</f>
        <v>782.42000000000007</v>
      </c>
      <c r="CQ28">
        <f t="shared" ref="CQ28:CQ33" si="37">(AC28*BC28*AW28)</f>
        <v>0</v>
      </c>
      <c r="CR28">
        <f t="shared" ref="CR28:CR33" si="38">(AD28*BB28*AV28)</f>
        <v>2222.3764567199996</v>
      </c>
      <c r="CS28">
        <f t="shared" ref="CS28:CS33" si="39">(AE28*BS28*AV28)</f>
        <v>821.05438433999996</v>
      </c>
      <c r="CT28">
        <f t="shared" ref="CT28:CT33" si="40">(AF28*BA28*AV28)</f>
        <v>8954.9340743399989</v>
      </c>
      <c r="CU28">
        <f t="shared" ref="CU28:CU33" si="41">AG28</f>
        <v>0</v>
      </c>
      <c r="CV28">
        <f t="shared" ref="CV28:CV33" si="42">(AH28*AV28)</f>
        <v>26.90325</v>
      </c>
      <c r="CW28">
        <f t="shared" ref="CW28:CX33" si="43">AI28</f>
        <v>0</v>
      </c>
      <c r="CX28">
        <f t="shared" si="43"/>
        <v>0</v>
      </c>
      <c r="CY28">
        <f t="shared" ref="CY28:CY33" si="44">S28*(BZ28/100)</f>
        <v>796.09950000000003</v>
      </c>
      <c r="CZ28">
        <f t="shared" ref="CZ28:CZ33" si="45">S28*(CA28/100)</f>
        <v>357.30449999999996</v>
      </c>
      <c r="DC28" t="s">
        <v>3</v>
      </c>
      <c r="DD28" t="s">
        <v>23</v>
      </c>
      <c r="DE28" t="s">
        <v>24</v>
      </c>
      <c r="DF28" t="s">
        <v>24</v>
      </c>
      <c r="DG28" t="s">
        <v>24</v>
      </c>
      <c r="DH28" t="s">
        <v>3</v>
      </c>
      <c r="DI28" t="s">
        <v>24</v>
      </c>
      <c r="DJ28" t="s">
        <v>24</v>
      </c>
      <c r="DK28" t="s">
        <v>3</v>
      </c>
      <c r="DL28" t="s">
        <v>3</v>
      </c>
      <c r="DM28" t="s">
        <v>3</v>
      </c>
      <c r="DN28">
        <v>159</v>
      </c>
      <c r="DO28">
        <v>119</v>
      </c>
      <c r="DP28">
        <v>1.087</v>
      </c>
      <c r="DQ28">
        <v>1.0029999999999999</v>
      </c>
      <c r="DU28">
        <v>1010</v>
      </c>
      <c r="DV28" t="s">
        <v>20</v>
      </c>
      <c r="DW28" t="s">
        <v>20</v>
      </c>
      <c r="DX28">
        <v>100</v>
      </c>
      <c r="DZ28" t="s">
        <v>3</v>
      </c>
      <c r="EA28" t="s">
        <v>3</v>
      </c>
      <c r="EB28" t="s">
        <v>3</v>
      </c>
      <c r="EC28" t="s">
        <v>3</v>
      </c>
      <c r="EE28">
        <v>42063659</v>
      </c>
      <c r="EF28">
        <v>30</v>
      </c>
      <c r="EG28" t="s">
        <v>25</v>
      </c>
      <c r="EH28">
        <v>0</v>
      </c>
      <c r="EI28" t="s">
        <v>3</v>
      </c>
      <c r="EJ28">
        <v>1</v>
      </c>
      <c r="EK28">
        <v>55</v>
      </c>
      <c r="EL28" t="s">
        <v>26</v>
      </c>
      <c r="EM28" t="s">
        <v>27</v>
      </c>
      <c r="EO28" t="s">
        <v>28</v>
      </c>
      <c r="EQ28">
        <v>512</v>
      </c>
      <c r="ER28">
        <v>1615.64</v>
      </c>
      <c r="ES28">
        <v>0</v>
      </c>
      <c r="ET28">
        <v>657.82</v>
      </c>
      <c r="EU28">
        <v>87.82</v>
      </c>
      <c r="EV28">
        <v>957.82</v>
      </c>
      <c r="EW28">
        <v>82.5</v>
      </c>
      <c r="EX28">
        <v>0</v>
      </c>
      <c r="EY28">
        <v>0</v>
      </c>
      <c r="FQ28">
        <v>0</v>
      </c>
      <c r="FR28">
        <f t="shared" ref="FR28:FR33" si="46">ROUND(IF(AND(BH28=3,BI28=3),P28,0),2)</f>
        <v>0</v>
      </c>
      <c r="FS28">
        <v>0</v>
      </c>
      <c r="FX28">
        <v>159</v>
      </c>
      <c r="FY28">
        <v>119</v>
      </c>
      <c r="GA28" t="s">
        <v>3</v>
      </c>
      <c r="GD28">
        <v>0</v>
      </c>
      <c r="GF28">
        <v>1658791555</v>
      </c>
      <c r="GG28">
        <v>2</v>
      </c>
      <c r="GH28">
        <v>1</v>
      </c>
      <c r="GI28">
        <v>2</v>
      </c>
      <c r="GJ28">
        <v>0</v>
      </c>
      <c r="GK28">
        <f>ROUND(R28*(R12)/100,2)</f>
        <v>91.95</v>
      </c>
      <c r="GL28">
        <f t="shared" ref="GL28:GL33" si="47">ROUND(IF(AND(BH28=3,BI28=3,FS28&lt;&gt;0),P28,0),2)</f>
        <v>0</v>
      </c>
      <c r="GM28">
        <f t="shared" ref="GM28:GM33" si="48">ROUND(O28+X28+Y28+GK28,2)+GX28</f>
        <v>2027.77</v>
      </c>
      <c r="GN28">
        <f t="shared" ref="GN28:GN33" si="49">IF(OR(BI28=0,BI28=1),ROUND(O28+X28+Y28+GK28,2),0)</f>
        <v>2027.77</v>
      </c>
      <c r="GO28">
        <f t="shared" ref="GO28:GO33" si="50">IF(BI28=2,ROUND(O28+X28+Y28+GK28,2),0)</f>
        <v>0</v>
      </c>
      <c r="GP28">
        <f t="shared" ref="GP28:GP33" si="51">IF(BI28=4,ROUND(O28+X28+Y28+GK28,2)+GX28,0)</f>
        <v>0</v>
      </c>
      <c r="GR28">
        <v>0</v>
      </c>
      <c r="GS28">
        <v>3</v>
      </c>
      <c r="GT28">
        <v>0</v>
      </c>
      <c r="GU28" t="s">
        <v>3</v>
      </c>
      <c r="GV28">
        <f t="shared" ref="GV28:GV33" si="52">ROUND((GT28),6)</f>
        <v>0</v>
      </c>
      <c r="GW28">
        <v>1</v>
      </c>
      <c r="GX28">
        <f t="shared" ref="GX28:GX33" si="53">ROUND(HC28*I28,2)</f>
        <v>0</v>
      </c>
      <c r="HA28">
        <v>0</v>
      </c>
      <c r="HB28">
        <v>0</v>
      </c>
      <c r="HC28">
        <f t="shared" ref="HC28:HC33" si="54">GV28*GW28</f>
        <v>0</v>
      </c>
      <c r="HE28" t="s">
        <v>3</v>
      </c>
      <c r="HF28" t="s">
        <v>3</v>
      </c>
      <c r="HM28" t="s">
        <v>3</v>
      </c>
      <c r="HN28" t="s">
        <v>3</v>
      </c>
      <c r="HO28" t="s">
        <v>3</v>
      </c>
      <c r="HP28" t="s">
        <v>3</v>
      </c>
      <c r="HQ28" t="s">
        <v>3</v>
      </c>
      <c r="IK28">
        <v>0</v>
      </c>
    </row>
    <row r="29" spans="1:245" x14ac:dyDescent="0.2">
      <c r="A29">
        <v>17</v>
      </c>
      <c r="B29">
        <v>1</v>
      </c>
      <c r="C29">
        <f>ROW(SmtRes!A9)</f>
        <v>9</v>
      </c>
      <c r="D29">
        <f>ROW(EtalonRes!A9)</f>
        <v>9</v>
      </c>
      <c r="E29" t="s">
        <v>29</v>
      </c>
      <c r="F29" t="s">
        <v>30</v>
      </c>
      <c r="G29" t="s">
        <v>31</v>
      </c>
      <c r="H29" t="s">
        <v>32</v>
      </c>
      <c r="I29">
        <f>ROUND(ROUND(13.48*4.81/1000,3),9)</f>
        <v>6.5000000000000002E-2</v>
      </c>
      <c r="J29">
        <v>0</v>
      </c>
      <c r="K29">
        <f>ROUND(ROUND(13.48*4.81/1000,3),9)</f>
        <v>6.5000000000000002E-2</v>
      </c>
      <c r="O29">
        <f t="shared" si="21"/>
        <v>370.32</v>
      </c>
      <c r="P29">
        <f t="shared" si="22"/>
        <v>0</v>
      </c>
      <c r="Q29">
        <f t="shared" si="23"/>
        <v>35.65</v>
      </c>
      <c r="R29">
        <f t="shared" si="24"/>
        <v>7.9</v>
      </c>
      <c r="S29">
        <f t="shared" si="25"/>
        <v>334.67</v>
      </c>
      <c r="T29">
        <f t="shared" si="26"/>
        <v>0</v>
      </c>
      <c r="U29">
        <f t="shared" si="27"/>
        <v>0.87178454999999999</v>
      </c>
      <c r="V29">
        <f t="shared" si="28"/>
        <v>0</v>
      </c>
      <c r="W29">
        <f t="shared" si="29"/>
        <v>0</v>
      </c>
      <c r="X29">
        <f t="shared" si="30"/>
        <v>291.16000000000003</v>
      </c>
      <c r="Y29">
        <f t="shared" si="30"/>
        <v>137.21</v>
      </c>
      <c r="AA29">
        <v>59267179</v>
      </c>
      <c r="AB29">
        <f t="shared" si="31"/>
        <v>219.89699999999999</v>
      </c>
      <c r="AC29">
        <f>ROUND(((ES29*0)),6)</f>
        <v>0</v>
      </c>
      <c r="AD29">
        <f t="shared" si="32"/>
        <v>48.372</v>
      </c>
      <c r="AE29">
        <f t="shared" si="32"/>
        <v>4.05</v>
      </c>
      <c r="AF29">
        <f t="shared" si="32"/>
        <v>171.52500000000001</v>
      </c>
      <c r="AG29">
        <f t="shared" si="33"/>
        <v>0</v>
      </c>
      <c r="AH29">
        <f t="shared" si="34"/>
        <v>12.81</v>
      </c>
      <c r="AI29">
        <f t="shared" si="34"/>
        <v>0</v>
      </c>
      <c r="AJ29">
        <f t="shared" si="35"/>
        <v>0</v>
      </c>
      <c r="AK29">
        <v>1020.66</v>
      </c>
      <c r="AL29">
        <v>287.67</v>
      </c>
      <c r="AM29">
        <v>161.24</v>
      </c>
      <c r="AN29">
        <v>13.5</v>
      </c>
      <c r="AO29">
        <v>571.75</v>
      </c>
      <c r="AP29">
        <v>0</v>
      </c>
      <c r="AQ29">
        <v>42.7</v>
      </c>
      <c r="AR29">
        <v>0</v>
      </c>
      <c r="AS29">
        <v>0</v>
      </c>
      <c r="AT29">
        <v>87</v>
      </c>
      <c r="AU29">
        <v>41</v>
      </c>
      <c r="AV29">
        <v>1.0469999999999999</v>
      </c>
      <c r="AW29">
        <v>1</v>
      </c>
      <c r="AZ29">
        <v>1</v>
      </c>
      <c r="BA29">
        <v>28.67</v>
      </c>
      <c r="BB29">
        <v>10.83</v>
      </c>
      <c r="BC29">
        <v>16.7</v>
      </c>
      <c r="BD29" t="s">
        <v>3</v>
      </c>
      <c r="BE29" t="s">
        <v>3</v>
      </c>
      <c r="BF29" t="s">
        <v>3</v>
      </c>
      <c r="BG29" t="s">
        <v>3</v>
      </c>
      <c r="BH29">
        <v>0</v>
      </c>
      <c r="BI29">
        <v>1</v>
      </c>
      <c r="BJ29" t="s">
        <v>33</v>
      </c>
      <c r="BM29">
        <v>61</v>
      </c>
      <c r="BN29">
        <v>0</v>
      </c>
      <c r="BO29" t="s">
        <v>30</v>
      </c>
      <c r="BP29">
        <v>1</v>
      </c>
      <c r="BQ29">
        <v>30</v>
      </c>
      <c r="BR29">
        <v>0</v>
      </c>
      <c r="BS29">
        <v>28.67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87</v>
      </c>
      <c r="CA29">
        <v>41</v>
      </c>
      <c r="CB29" t="s">
        <v>3</v>
      </c>
      <c r="CE29">
        <v>0</v>
      </c>
      <c r="CF29">
        <v>0</v>
      </c>
      <c r="CG29">
        <v>0</v>
      </c>
      <c r="CM29">
        <v>0</v>
      </c>
      <c r="CN29" t="s">
        <v>22</v>
      </c>
      <c r="CO29">
        <v>0</v>
      </c>
      <c r="CP29">
        <f t="shared" si="36"/>
        <v>370.32</v>
      </c>
      <c r="CQ29">
        <f t="shared" si="37"/>
        <v>0</v>
      </c>
      <c r="CR29">
        <f t="shared" si="38"/>
        <v>548.49059171999988</v>
      </c>
      <c r="CS29">
        <f t="shared" si="39"/>
        <v>121.57083449999999</v>
      </c>
      <c r="CT29">
        <f t="shared" si="40"/>
        <v>5148.7499722499997</v>
      </c>
      <c r="CU29">
        <f t="shared" si="41"/>
        <v>0</v>
      </c>
      <c r="CV29">
        <f t="shared" si="42"/>
        <v>13.41207</v>
      </c>
      <c r="CW29">
        <f t="shared" si="43"/>
        <v>0</v>
      </c>
      <c r="CX29">
        <f t="shared" si="43"/>
        <v>0</v>
      </c>
      <c r="CY29">
        <f t="shared" si="44"/>
        <v>291.16290000000004</v>
      </c>
      <c r="CZ29">
        <f t="shared" si="45"/>
        <v>137.21469999999999</v>
      </c>
      <c r="DC29" t="s">
        <v>3</v>
      </c>
      <c r="DD29" t="s">
        <v>23</v>
      </c>
      <c r="DE29" t="s">
        <v>24</v>
      </c>
      <c r="DF29" t="s">
        <v>24</v>
      </c>
      <c r="DG29" t="s">
        <v>24</v>
      </c>
      <c r="DH29" t="s">
        <v>3</v>
      </c>
      <c r="DI29" t="s">
        <v>24</v>
      </c>
      <c r="DJ29" t="s">
        <v>24</v>
      </c>
      <c r="DK29" t="s">
        <v>3</v>
      </c>
      <c r="DL29" t="s">
        <v>3</v>
      </c>
      <c r="DM29" t="s">
        <v>3</v>
      </c>
      <c r="DN29">
        <v>105</v>
      </c>
      <c r="DO29">
        <v>77</v>
      </c>
      <c r="DP29">
        <v>1.0469999999999999</v>
      </c>
      <c r="DQ29">
        <v>1</v>
      </c>
      <c r="DU29">
        <v>1013</v>
      </c>
      <c r="DV29" t="s">
        <v>32</v>
      </c>
      <c r="DW29" t="s">
        <v>32</v>
      </c>
      <c r="DX29">
        <v>1</v>
      </c>
      <c r="DZ29" t="s">
        <v>3</v>
      </c>
      <c r="EA29" t="s">
        <v>3</v>
      </c>
      <c r="EB29" t="s">
        <v>3</v>
      </c>
      <c r="EC29" t="s">
        <v>3</v>
      </c>
      <c r="EE29">
        <v>42063665</v>
      </c>
      <c r="EF29">
        <v>30</v>
      </c>
      <c r="EG29" t="s">
        <v>25</v>
      </c>
      <c r="EH29">
        <v>0</v>
      </c>
      <c r="EI29" t="s">
        <v>3</v>
      </c>
      <c r="EJ29">
        <v>1</v>
      </c>
      <c r="EK29">
        <v>61</v>
      </c>
      <c r="EL29" t="s">
        <v>34</v>
      </c>
      <c r="EM29" t="s">
        <v>35</v>
      </c>
      <c r="EO29" t="s">
        <v>28</v>
      </c>
      <c r="EQ29">
        <v>512</v>
      </c>
      <c r="ER29">
        <v>1020.66</v>
      </c>
      <c r="ES29">
        <v>287.67</v>
      </c>
      <c r="ET29">
        <v>161.24</v>
      </c>
      <c r="EU29">
        <v>13.5</v>
      </c>
      <c r="EV29">
        <v>571.75</v>
      </c>
      <c r="EW29">
        <v>42.7</v>
      </c>
      <c r="EX29">
        <v>0</v>
      </c>
      <c r="EY29">
        <v>0</v>
      </c>
      <c r="FQ29">
        <v>0</v>
      </c>
      <c r="FR29">
        <f t="shared" si="46"/>
        <v>0</v>
      </c>
      <c r="FS29">
        <v>0</v>
      </c>
      <c r="FX29">
        <v>105</v>
      </c>
      <c r="FY29">
        <v>77</v>
      </c>
      <c r="GA29" t="s">
        <v>3</v>
      </c>
      <c r="GD29">
        <v>0</v>
      </c>
      <c r="GF29">
        <v>-1783682324</v>
      </c>
      <c r="GG29">
        <v>2</v>
      </c>
      <c r="GH29">
        <v>1</v>
      </c>
      <c r="GI29">
        <v>2</v>
      </c>
      <c r="GJ29">
        <v>0</v>
      </c>
      <c r="GK29">
        <f>ROUND(R29*(R12)/100,2)</f>
        <v>12.64</v>
      </c>
      <c r="GL29">
        <f t="shared" si="47"/>
        <v>0</v>
      </c>
      <c r="GM29">
        <f t="shared" si="48"/>
        <v>811.33</v>
      </c>
      <c r="GN29">
        <f t="shared" si="49"/>
        <v>811.33</v>
      </c>
      <c r="GO29">
        <f t="shared" si="50"/>
        <v>0</v>
      </c>
      <c r="GP29">
        <f t="shared" si="51"/>
        <v>0</v>
      </c>
      <c r="GR29">
        <v>0</v>
      </c>
      <c r="GS29">
        <v>3</v>
      </c>
      <c r="GT29">
        <v>0</v>
      </c>
      <c r="GU29" t="s">
        <v>3</v>
      </c>
      <c r="GV29">
        <f t="shared" si="52"/>
        <v>0</v>
      </c>
      <c r="GW29">
        <v>1</v>
      </c>
      <c r="GX29">
        <f t="shared" si="53"/>
        <v>0</v>
      </c>
      <c r="HA29">
        <v>0</v>
      </c>
      <c r="HB29">
        <v>0</v>
      </c>
      <c r="HC29">
        <f t="shared" si="54"/>
        <v>0</v>
      </c>
      <c r="HE29" t="s">
        <v>3</v>
      </c>
      <c r="HF29" t="s">
        <v>3</v>
      </c>
      <c r="HM29" t="s">
        <v>3</v>
      </c>
      <c r="HN29" t="s">
        <v>3</v>
      </c>
      <c r="HO29" t="s">
        <v>3</v>
      </c>
      <c r="HP29" t="s">
        <v>3</v>
      </c>
      <c r="HQ29" t="s">
        <v>3</v>
      </c>
      <c r="IK29">
        <v>0</v>
      </c>
    </row>
    <row r="30" spans="1:245" x14ac:dyDescent="0.2">
      <c r="A30">
        <v>17</v>
      </c>
      <c r="B30">
        <v>1</v>
      </c>
      <c r="C30">
        <f>ROW(SmtRes!A10)</f>
        <v>10</v>
      </c>
      <c r="D30">
        <f>ROW(EtalonRes!A10)</f>
        <v>10</v>
      </c>
      <c r="E30" t="s">
        <v>36</v>
      </c>
      <c r="F30" t="s">
        <v>37</v>
      </c>
      <c r="G30" t="s">
        <v>38</v>
      </c>
      <c r="H30" t="s">
        <v>39</v>
      </c>
      <c r="I30">
        <v>1</v>
      </c>
      <c r="J30">
        <v>0</v>
      </c>
      <c r="K30">
        <v>1</v>
      </c>
      <c r="O30">
        <f t="shared" si="21"/>
        <v>3870.84</v>
      </c>
      <c r="P30">
        <f t="shared" si="22"/>
        <v>0</v>
      </c>
      <c r="Q30">
        <f t="shared" si="23"/>
        <v>590.74</v>
      </c>
      <c r="R30">
        <f t="shared" si="24"/>
        <v>239.62</v>
      </c>
      <c r="S30">
        <f t="shared" si="25"/>
        <v>3280.1</v>
      </c>
      <c r="T30">
        <f t="shared" si="26"/>
        <v>0</v>
      </c>
      <c r="U30">
        <f t="shared" si="27"/>
        <v>9.0655799999999989</v>
      </c>
      <c r="V30">
        <f t="shared" si="28"/>
        <v>0</v>
      </c>
      <c r="W30">
        <f t="shared" si="29"/>
        <v>0</v>
      </c>
      <c r="X30">
        <f t="shared" si="30"/>
        <v>3017.69</v>
      </c>
      <c r="Y30">
        <f t="shared" si="30"/>
        <v>1410.44</v>
      </c>
      <c r="AA30">
        <v>59267179</v>
      </c>
      <c r="AB30">
        <f t="shared" si="31"/>
        <v>156.13800000000001</v>
      </c>
      <c r="AC30">
        <f>ROUND(((ES30*0)),6)</f>
        <v>0</v>
      </c>
      <c r="AD30">
        <f t="shared" si="32"/>
        <v>50.886000000000003</v>
      </c>
      <c r="AE30">
        <f t="shared" si="32"/>
        <v>7.6890000000000001</v>
      </c>
      <c r="AF30">
        <f t="shared" si="32"/>
        <v>105.252</v>
      </c>
      <c r="AG30">
        <f t="shared" si="33"/>
        <v>0</v>
      </c>
      <c r="AH30">
        <f t="shared" si="34"/>
        <v>8.34</v>
      </c>
      <c r="AI30">
        <f t="shared" si="34"/>
        <v>0</v>
      </c>
      <c r="AJ30">
        <f t="shared" si="35"/>
        <v>0</v>
      </c>
      <c r="AK30">
        <v>591.16</v>
      </c>
      <c r="AL30">
        <v>70.7</v>
      </c>
      <c r="AM30">
        <v>169.62</v>
      </c>
      <c r="AN30">
        <v>25.63</v>
      </c>
      <c r="AO30">
        <v>350.84</v>
      </c>
      <c r="AP30">
        <v>0</v>
      </c>
      <c r="AQ30">
        <v>27.8</v>
      </c>
      <c r="AR30">
        <v>0</v>
      </c>
      <c r="AS30">
        <v>0</v>
      </c>
      <c r="AT30">
        <v>92</v>
      </c>
      <c r="AU30">
        <v>43</v>
      </c>
      <c r="AV30">
        <v>1.087</v>
      </c>
      <c r="AW30">
        <v>1</v>
      </c>
      <c r="AZ30">
        <v>1</v>
      </c>
      <c r="BA30">
        <v>28.67</v>
      </c>
      <c r="BB30">
        <v>10.68</v>
      </c>
      <c r="BC30">
        <v>8.24</v>
      </c>
      <c r="BD30" t="s">
        <v>3</v>
      </c>
      <c r="BE30" t="s">
        <v>3</v>
      </c>
      <c r="BF30" t="s">
        <v>3</v>
      </c>
      <c r="BG30" t="s">
        <v>3</v>
      </c>
      <c r="BH30">
        <v>0</v>
      </c>
      <c r="BI30">
        <v>2</v>
      </c>
      <c r="BJ30" t="s">
        <v>40</v>
      </c>
      <c r="BM30">
        <v>316</v>
      </c>
      <c r="BN30">
        <v>0</v>
      </c>
      <c r="BO30" t="s">
        <v>37</v>
      </c>
      <c r="BP30">
        <v>1</v>
      </c>
      <c r="BQ30">
        <v>40</v>
      </c>
      <c r="BR30">
        <v>0</v>
      </c>
      <c r="BS30">
        <v>28.67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</v>
      </c>
      <c r="BZ30">
        <v>92</v>
      </c>
      <c r="CA30">
        <v>43</v>
      </c>
      <c r="CB30" t="s">
        <v>3</v>
      </c>
      <c r="CE30">
        <v>0</v>
      </c>
      <c r="CF30">
        <v>0</v>
      </c>
      <c r="CG30">
        <v>0</v>
      </c>
      <c r="CM30">
        <v>0</v>
      </c>
      <c r="CN30" t="s">
        <v>41</v>
      </c>
      <c r="CO30">
        <v>0</v>
      </c>
      <c r="CP30">
        <f t="shared" si="36"/>
        <v>3870.84</v>
      </c>
      <c r="CQ30">
        <f t="shared" si="37"/>
        <v>0</v>
      </c>
      <c r="CR30">
        <f t="shared" si="38"/>
        <v>590.74371575999999</v>
      </c>
      <c r="CS30">
        <f t="shared" si="39"/>
        <v>239.62222581</v>
      </c>
      <c r="CT30">
        <f t="shared" si="40"/>
        <v>3280.1038510799999</v>
      </c>
      <c r="CU30">
        <f t="shared" si="41"/>
        <v>0</v>
      </c>
      <c r="CV30">
        <f t="shared" si="42"/>
        <v>9.0655799999999989</v>
      </c>
      <c r="CW30">
        <f t="shared" si="43"/>
        <v>0</v>
      </c>
      <c r="CX30">
        <f t="shared" si="43"/>
        <v>0</v>
      </c>
      <c r="CY30">
        <f t="shared" si="44"/>
        <v>3017.692</v>
      </c>
      <c r="CZ30">
        <f t="shared" si="45"/>
        <v>1410.443</v>
      </c>
      <c r="DC30" t="s">
        <v>3</v>
      </c>
      <c r="DD30" t="s">
        <v>23</v>
      </c>
      <c r="DE30" t="s">
        <v>24</v>
      </c>
      <c r="DF30" t="s">
        <v>24</v>
      </c>
      <c r="DG30" t="s">
        <v>24</v>
      </c>
      <c r="DH30" t="s">
        <v>3</v>
      </c>
      <c r="DI30" t="s">
        <v>24</v>
      </c>
      <c r="DJ30" t="s">
        <v>24</v>
      </c>
      <c r="DK30" t="s">
        <v>3</v>
      </c>
      <c r="DL30" t="s">
        <v>3</v>
      </c>
      <c r="DM30" t="s">
        <v>3</v>
      </c>
      <c r="DN30">
        <v>112</v>
      </c>
      <c r="DO30">
        <v>70</v>
      </c>
      <c r="DP30">
        <v>1.087</v>
      </c>
      <c r="DQ30">
        <v>1</v>
      </c>
      <c r="DU30">
        <v>1013</v>
      </c>
      <c r="DV30" t="s">
        <v>39</v>
      </c>
      <c r="DW30" t="s">
        <v>39</v>
      </c>
      <c r="DX30">
        <v>1</v>
      </c>
      <c r="DZ30" t="s">
        <v>3</v>
      </c>
      <c r="EA30" t="s">
        <v>3</v>
      </c>
      <c r="EB30" t="s">
        <v>3</v>
      </c>
      <c r="EC30" t="s">
        <v>3</v>
      </c>
      <c r="EE30">
        <v>42063920</v>
      </c>
      <c r="EF30">
        <v>40</v>
      </c>
      <c r="EG30" t="s">
        <v>42</v>
      </c>
      <c r="EH30">
        <v>0</v>
      </c>
      <c r="EI30" t="s">
        <v>3</v>
      </c>
      <c r="EJ30">
        <v>2</v>
      </c>
      <c r="EK30">
        <v>316</v>
      </c>
      <c r="EL30" t="s">
        <v>43</v>
      </c>
      <c r="EM30" t="s">
        <v>44</v>
      </c>
      <c r="EO30" t="s">
        <v>45</v>
      </c>
      <c r="EQ30">
        <v>512</v>
      </c>
      <c r="ER30">
        <v>591.16</v>
      </c>
      <c r="ES30">
        <v>70.7</v>
      </c>
      <c r="ET30">
        <v>169.62</v>
      </c>
      <c r="EU30">
        <v>25.63</v>
      </c>
      <c r="EV30">
        <v>350.84</v>
      </c>
      <c r="EW30">
        <v>27.8</v>
      </c>
      <c r="EX30">
        <v>0</v>
      </c>
      <c r="EY30">
        <v>0</v>
      </c>
      <c r="FQ30">
        <v>0</v>
      </c>
      <c r="FR30">
        <f t="shared" si="46"/>
        <v>0</v>
      </c>
      <c r="FS30">
        <v>0</v>
      </c>
      <c r="FX30">
        <v>112</v>
      </c>
      <c r="FY30">
        <v>70</v>
      </c>
      <c r="GA30" t="s">
        <v>3</v>
      </c>
      <c r="GD30">
        <v>0</v>
      </c>
      <c r="GF30">
        <v>-883731056</v>
      </c>
      <c r="GG30">
        <v>2</v>
      </c>
      <c r="GH30">
        <v>1</v>
      </c>
      <c r="GI30">
        <v>2</v>
      </c>
      <c r="GJ30">
        <v>0</v>
      </c>
      <c r="GK30">
        <f>ROUND(R30*(R12)/100,2)</f>
        <v>383.39</v>
      </c>
      <c r="GL30">
        <f t="shared" si="47"/>
        <v>0</v>
      </c>
      <c r="GM30">
        <f t="shared" si="48"/>
        <v>8682.36</v>
      </c>
      <c r="GN30">
        <f t="shared" si="49"/>
        <v>0</v>
      </c>
      <c r="GO30">
        <f t="shared" si="50"/>
        <v>8682.36</v>
      </c>
      <c r="GP30">
        <f t="shared" si="51"/>
        <v>0</v>
      </c>
      <c r="GR30">
        <v>0</v>
      </c>
      <c r="GS30">
        <v>3</v>
      </c>
      <c r="GT30">
        <v>0</v>
      </c>
      <c r="GU30" t="s">
        <v>3</v>
      </c>
      <c r="GV30">
        <f t="shared" si="52"/>
        <v>0</v>
      </c>
      <c r="GW30">
        <v>1</v>
      </c>
      <c r="GX30">
        <f t="shared" si="53"/>
        <v>0</v>
      </c>
      <c r="HA30">
        <v>0</v>
      </c>
      <c r="HB30">
        <v>0</v>
      </c>
      <c r="HC30">
        <f t="shared" si="54"/>
        <v>0</v>
      </c>
      <c r="HE30" t="s">
        <v>3</v>
      </c>
      <c r="HF30" t="s">
        <v>3</v>
      </c>
      <c r="HM30" t="s">
        <v>3</v>
      </c>
      <c r="HN30" t="s">
        <v>3</v>
      </c>
      <c r="HO30" t="s">
        <v>3</v>
      </c>
      <c r="HP30" t="s">
        <v>3</v>
      </c>
      <c r="HQ30" t="s">
        <v>3</v>
      </c>
      <c r="IK30">
        <v>0</v>
      </c>
    </row>
    <row r="31" spans="1:245" x14ac:dyDescent="0.2">
      <c r="A31">
        <v>17</v>
      </c>
      <c r="B31">
        <v>1</v>
      </c>
      <c r="C31">
        <f>ROW(SmtRes!A11)</f>
        <v>11</v>
      </c>
      <c r="D31">
        <f>ROW(EtalonRes!A11)</f>
        <v>11</v>
      </c>
      <c r="E31" t="s">
        <v>46</v>
      </c>
      <c r="F31" t="s">
        <v>47</v>
      </c>
      <c r="G31" t="s">
        <v>48</v>
      </c>
      <c r="H31" t="s">
        <v>49</v>
      </c>
      <c r="I31">
        <v>1</v>
      </c>
      <c r="J31">
        <v>0</v>
      </c>
      <c r="K31">
        <v>1</v>
      </c>
      <c r="O31">
        <f t="shared" si="21"/>
        <v>4890.82</v>
      </c>
      <c r="P31">
        <f t="shared" si="22"/>
        <v>0</v>
      </c>
      <c r="Q31">
        <f t="shared" si="23"/>
        <v>1754.2</v>
      </c>
      <c r="R31">
        <f t="shared" si="24"/>
        <v>941.86</v>
      </c>
      <c r="S31">
        <f t="shared" si="25"/>
        <v>3136.62</v>
      </c>
      <c r="T31">
        <f t="shared" si="26"/>
        <v>0</v>
      </c>
      <c r="U31">
        <f t="shared" si="27"/>
        <v>8.669159999999998</v>
      </c>
      <c r="V31">
        <f t="shared" si="28"/>
        <v>0</v>
      </c>
      <c r="W31">
        <f t="shared" si="29"/>
        <v>0</v>
      </c>
      <c r="X31">
        <f t="shared" si="30"/>
        <v>2885.69</v>
      </c>
      <c r="Y31">
        <f t="shared" si="30"/>
        <v>1348.75</v>
      </c>
      <c r="AA31">
        <v>59267179</v>
      </c>
      <c r="AB31">
        <f t="shared" si="31"/>
        <v>239.61</v>
      </c>
      <c r="AC31">
        <f>ROUND(((ES31*0)),6)</f>
        <v>0</v>
      </c>
      <c r="AD31">
        <f t="shared" si="32"/>
        <v>135.11699999999999</v>
      </c>
      <c r="AE31">
        <f t="shared" si="32"/>
        <v>31.376999999999999</v>
      </c>
      <c r="AF31">
        <f t="shared" si="32"/>
        <v>104.49299999999999</v>
      </c>
      <c r="AG31">
        <f t="shared" si="33"/>
        <v>0</v>
      </c>
      <c r="AH31">
        <f t="shared" si="34"/>
        <v>8.2799999999999994</v>
      </c>
      <c r="AI31">
        <f t="shared" si="34"/>
        <v>0</v>
      </c>
      <c r="AJ31">
        <f t="shared" si="35"/>
        <v>0</v>
      </c>
      <c r="AK31">
        <v>1076.5999999999999</v>
      </c>
      <c r="AL31">
        <v>277.89999999999998</v>
      </c>
      <c r="AM31">
        <v>450.39</v>
      </c>
      <c r="AN31">
        <v>104.59</v>
      </c>
      <c r="AO31">
        <v>348.31</v>
      </c>
      <c r="AP31">
        <v>0</v>
      </c>
      <c r="AQ31">
        <v>27.6</v>
      </c>
      <c r="AR31">
        <v>0</v>
      </c>
      <c r="AS31">
        <v>0</v>
      </c>
      <c r="AT31">
        <v>92</v>
      </c>
      <c r="AU31">
        <v>43</v>
      </c>
      <c r="AV31">
        <v>1.0469999999999999</v>
      </c>
      <c r="AW31">
        <v>1</v>
      </c>
      <c r="AZ31">
        <v>1</v>
      </c>
      <c r="BA31">
        <v>28.67</v>
      </c>
      <c r="BB31">
        <v>12.4</v>
      </c>
      <c r="BC31">
        <v>8.24</v>
      </c>
      <c r="BD31" t="s">
        <v>3</v>
      </c>
      <c r="BE31" t="s">
        <v>3</v>
      </c>
      <c r="BF31" t="s">
        <v>3</v>
      </c>
      <c r="BG31" t="s">
        <v>3</v>
      </c>
      <c r="BH31">
        <v>0</v>
      </c>
      <c r="BI31">
        <v>2</v>
      </c>
      <c r="BJ31" t="s">
        <v>50</v>
      </c>
      <c r="BM31">
        <v>317</v>
      </c>
      <c r="BN31">
        <v>0</v>
      </c>
      <c r="BO31" t="s">
        <v>47</v>
      </c>
      <c r="BP31">
        <v>1</v>
      </c>
      <c r="BQ31">
        <v>40</v>
      </c>
      <c r="BR31">
        <v>0</v>
      </c>
      <c r="BS31">
        <v>28.67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3</v>
      </c>
      <c r="BZ31">
        <v>92</v>
      </c>
      <c r="CA31">
        <v>43</v>
      </c>
      <c r="CB31" t="s">
        <v>3</v>
      </c>
      <c r="CE31">
        <v>0</v>
      </c>
      <c r="CF31">
        <v>0</v>
      </c>
      <c r="CG31">
        <v>0</v>
      </c>
      <c r="CM31">
        <v>0</v>
      </c>
      <c r="CN31" t="s">
        <v>41</v>
      </c>
      <c r="CO31">
        <v>0</v>
      </c>
      <c r="CP31">
        <f t="shared" si="36"/>
        <v>4890.82</v>
      </c>
      <c r="CQ31">
        <f t="shared" si="37"/>
        <v>0</v>
      </c>
      <c r="CR31">
        <f t="shared" si="38"/>
        <v>1754.1969875999998</v>
      </c>
      <c r="CS31">
        <f t="shared" si="39"/>
        <v>941.85878373000003</v>
      </c>
      <c r="CT31">
        <f t="shared" si="40"/>
        <v>3136.6175825700002</v>
      </c>
      <c r="CU31">
        <f t="shared" si="41"/>
        <v>0</v>
      </c>
      <c r="CV31">
        <f t="shared" si="42"/>
        <v>8.669159999999998</v>
      </c>
      <c r="CW31">
        <f t="shared" si="43"/>
        <v>0</v>
      </c>
      <c r="CX31">
        <f t="shared" si="43"/>
        <v>0</v>
      </c>
      <c r="CY31">
        <f t="shared" si="44"/>
        <v>2885.6904</v>
      </c>
      <c r="CZ31">
        <f t="shared" si="45"/>
        <v>1348.7465999999999</v>
      </c>
      <c r="DC31" t="s">
        <v>3</v>
      </c>
      <c r="DD31" t="s">
        <v>23</v>
      </c>
      <c r="DE31" t="s">
        <v>24</v>
      </c>
      <c r="DF31" t="s">
        <v>24</v>
      </c>
      <c r="DG31" t="s">
        <v>24</v>
      </c>
      <c r="DH31" t="s">
        <v>3</v>
      </c>
      <c r="DI31" t="s">
        <v>24</v>
      </c>
      <c r="DJ31" t="s">
        <v>24</v>
      </c>
      <c r="DK31" t="s">
        <v>3</v>
      </c>
      <c r="DL31" t="s">
        <v>3</v>
      </c>
      <c r="DM31" t="s">
        <v>3</v>
      </c>
      <c r="DN31">
        <v>112</v>
      </c>
      <c r="DO31">
        <v>70</v>
      </c>
      <c r="DP31">
        <v>1.0469999999999999</v>
      </c>
      <c r="DQ31">
        <v>1</v>
      </c>
      <c r="DU31">
        <v>1013</v>
      </c>
      <c r="DV31" t="s">
        <v>49</v>
      </c>
      <c r="DW31" t="s">
        <v>49</v>
      </c>
      <c r="DX31">
        <v>1</v>
      </c>
      <c r="DZ31" t="s">
        <v>3</v>
      </c>
      <c r="EA31" t="s">
        <v>3</v>
      </c>
      <c r="EB31" t="s">
        <v>3</v>
      </c>
      <c r="EC31" t="s">
        <v>3</v>
      </c>
      <c r="EE31">
        <v>42063921</v>
      </c>
      <c r="EF31">
        <v>40</v>
      </c>
      <c r="EG31" t="s">
        <v>42</v>
      </c>
      <c r="EH31">
        <v>0</v>
      </c>
      <c r="EI31" t="s">
        <v>3</v>
      </c>
      <c r="EJ31">
        <v>2</v>
      </c>
      <c r="EK31">
        <v>317</v>
      </c>
      <c r="EL31" t="s">
        <v>51</v>
      </c>
      <c r="EM31" t="s">
        <v>52</v>
      </c>
      <c r="EO31" t="s">
        <v>45</v>
      </c>
      <c r="EQ31">
        <v>512</v>
      </c>
      <c r="ER31">
        <v>1076.5999999999999</v>
      </c>
      <c r="ES31">
        <v>277.89999999999998</v>
      </c>
      <c r="ET31">
        <v>450.39</v>
      </c>
      <c r="EU31">
        <v>104.59</v>
      </c>
      <c r="EV31">
        <v>348.31</v>
      </c>
      <c r="EW31">
        <v>27.6</v>
      </c>
      <c r="EX31">
        <v>0</v>
      </c>
      <c r="EY31">
        <v>0</v>
      </c>
      <c r="FQ31">
        <v>0</v>
      </c>
      <c r="FR31">
        <f t="shared" si="46"/>
        <v>0</v>
      </c>
      <c r="FS31">
        <v>0</v>
      </c>
      <c r="FX31">
        <v>112</v>
      </c>
      <c r="FY31">
        <v>70</v>
      </c>
      <c r="GA31" t="s">
        <v>3</v>
      </c>
      <c r="GD31">
        <v>0</v>
      </c>
      <c r="GF31">
        <v>-216119765</v>
      </c>
      <c r="GG31">
        <v>2</v>
      </c>
      <c r="GH31">
        <v>1</v>
      </c>
      <c r="GI31">
        <v>2</v>
      </c>
      <c r="GJ31">
        <v>0</v>
      </c>
      <c r="GK31">
        <f>ROUND(R31*(R12)/100,2)</f>
        <v>1506.98</v>
      </c>
      <c r="GL31">
        <f t="shared" si="47"/>
        <v>0</v>
      </c>
      <c r="GM31">
        <f t="shared" si="48"/>
        <v>10632.24</v>
      </c>
      <c r="GN31">
        <f t="shared" si="49"/>
        <v>0</v>
      </c>
      <c r="GO31">
        <f t="shared" si="50"/>
        <v>10632.24</v>
      </c>
      <c r="GP31">
        <f t="shared" si="51"/>
        <v>0</v>
      </c>
      <c r="GR31">
        <v>0</v>
      </c>
      <c r="GS31">
        <v>3</v>
      </c>
      <c r="GT31">
        <v>0</v>
      </c>
      <c r="GU31" t="s">
        <v>3</v>
      </c>
      <c r="GV31">
        <f t="shared" si="52"/>
        <v>0</v>
      </c>
      <c r="GW31">
        <v>1</v>
      </c>
      <c r="GX31">
        <f t="shared" si="53"/>
        <v>0</v>
      </c>
      <c r="HA31">
        <v>0</v>
      </c>
      <c r="HB31">
        <v>0</v>
      </c>
      <c r="HC31">
        <f t="shared" si="54"/>
        <v>0</v>
      </c>
      <c r="HE31" t="s">
        <v>3</v>
      </c>
      <c r="HF31" t="s">
        <v>3</v>
      </c>
      <c r="HM31" t="s">
        <v>3</v>
      </c>
      <c r="HN31" t="s">
        <v>3</v>
      </c>
      <c r="HO31" t="s">
        <v>3</v>
      </c>
      <c r="HP31" t="s">
        <v>3</v>
      </c>
      <c r="HQ31" t="s">
        <v>3</v>
      </c>
      <c r="IK31">
        <v>0</v>
      </c>
    </row>
    <row r="32" spans="1:245" x14ac:dyDescent="0.2">
      <c r="A32">
        <v>17</v>
      </c>
      <c r="B32">
        <v>1</v>
      </c>
      <c r="C32">
        <f>ROW(SmtRes!A12)</f>
        <v>12</v>
      </c>
      <c r="D32">
        <f>ROW(EtalonRes!A12)</f>
        <v>12</v>
      </c>
      <c r="E32" t="s">
        <v>53</v>
      </c>
      <c r="F32" t="s">
        <v>54</v>
      </c>
      <c r="G32" t="s">
        <v>55</v>
      </c>
      <c r="H32" t="s">
        <v>56</v>
      </c>
      <c r="I32">
        <f>ROUND(ROUND((1.165+1.3+1.5+1.3*3)+I29,3),9)</f>
        <v>7.93</v>
      </c>
      <c r="J32">
        <v>0</v>
      </c>
      <c r="K32">
        <f>ROUND(ROUND((1.165+1.3+1.5+1.3*3)+I29,3),9)</f>
        <v>7.93</v>
      </c>
      <c r="O32">
        <f t="shared" si="21"/>
        <v>2289.9299999999998</v>
      </c>
      <c r="P32">
        <f t="shared" si="22"/>
        <v>0</v>
      </c>
      <c r="Q32">
        <f t="shared" si="23"/>
        <v>0</v>
      </c>
      <c r="R32">
        <f t="shared" si="24"/>
        <v>0</v>
      </c>
      <c r="S32">
        <f t="shared" si="25"/>
        <v>2289.9299999999998</v>
      </c>
      <c r="T32">
        <f t="shared" si="26"/>
        <v>0</v>
      </c>
      <c r="U32">
        <f t="shared" si="27"/>
        <v>8.468764199999999</v>
      </c>
      <c r="V32">
        <f t="shared" si="28"/>
        <v>0</v>
      </c>
      <c r="W32">
        <f t="shared" si="29"/>
        <v>0</v>
      </c>
      <c r="X32">
        <f t="shared" si="30"/>
        <v>1717.45</v>
      </c>
      <c r="Y32">
        <f t="shared" si="30"/>
        <v>938.87</v>
      </c>
      <c r="AA32">
        <v>59267179</v>
      </c>
      <c r="AB32">
        <f t="shared" si="31"/>
        <v>9.6199999999999992</v>
      </c>
      <c r="AC32">
        <f t="shared" ref="AC32:AF33" si="55">ROUND((ES32),6)</f>
        <v>0</v>
      </c>
      <c r="AD32">
        <f t="shared" si="55"/>
        <v>0</v>
      </c>
      <c r="AE32">
        <f t="shared" si="55"/>
        <v>0</v>
      </c>
      <c r="AF32">
        <f t="shared" si="55"/>
        <v>9.6199999999999992</v>
      </c>
      <c r="AG32">
        <f t="shared" si="33"/>
        <v>0</v>
      </c>
      <c r="AH32">
        <f>(EW32)</f>
        <v>1.02</v>
      </c>
      <c r="AI32">
        <f>(EX32)</f>
        <v>0</v>
      </c>
      <c r="AJ32">
        <f t="shared" si="35"/>
        <v>0</v>
      </c>
      <c r="AK32">
        <v>9.6199999999999992</v>
      </c>
      <c r="AL32">
        <v>0</v>
      </c>
      <c r="AM32">
        <v>0</v>
      </c>
      <c r="AN32">
        <v>0</v>
      </c>
      <c r="AO32">
        <v>9.6199999999999992</v>
      </c>
      <c r="AP32">
        <v>0</v>
      </c>
      <c r="AQ32">
        <v>1.02</v>
      </c>
      <c r="AR32">
        <v>0</v>
      </c>
      <c r="AS32">
        <v>0</v>
      </c>
      <c r="AT32">
        <v>75</v>
      </c>
      <c r="AU32">
        <v>41</v>
      </c>
      <c r="AV32">
        <v>1.0469999999999999</v>
      </c>
      <c r="AW32">
        <v>1.002</v>
      </c>
      <c r="AZ32">
        <v>1</v>
      </c>
      <c r="BA32">
        <v>28.67</v>
      </c>
      <c r="BB32">
        <v>1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1</v>
      </c>
      <c r="BJ32" t="s">
        <v>57</v>
      </c>
      <c r="BM32">
        <v>682</v>
      </c>
      <c r="BN32">
        <v>0</v>
      </c>
      <c r="BO32" t="s">
        <v>54</v>
      </c>
      <c r="BP32">
        <v>1</v>
      </c>
      <c r="BQ32">
        <v>60</v>
      </c>
      <c r="BR32">
        <v>0</v>
      </c>
      <c r="BS32">
        <v>28.67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75</v>
      </c>
      <c r="CA32">
        <v>41</v>
      </c>
      <c r="CB32" t="s">
        <v>3</v>
      </c>
      <c r="CE32">
        <v>0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 t="shared" si="36"/>
        <v>2289.9299999999998</v>
      </c>
      <c r="CQ32">
        <f t="shared" si="37"/>
        <v>0</v>
      </c>
      <c r="CR32">
        <f t="shared" si="38"/>
        <v>0</v>
      </c>
      <c r="CS32">
        <f t="shared" si="39"/>
        <v>0</v>
      </c>
      <c r="CT32">
        <f t="shared" si="40"/>
        <v>288.76825380000002</v>
      </c>
      <c r="CU32">
        <f t="shared" si="41"/>
        <v>0</v>
      </c>
      <c r="CV32">
        <f t="shared" si="42"/>
        <v>1.0679399999999999</v>
      </c>
      <c r="CW32">
        <f t="shared" si="43"/>
        <v>0</v>
      </c>
      <c r="CX32">
        <f t="shared" si="43"/>
        <v>0</v>
      </c>
      <c r="CY32">
        <f t="shared" si="44"/>
        <v>1717.4474999999998</v>
      </c>
      <c r="CZ32">
        <f t="shared" si="45"/>
        <v>938.87129999999991</v>
      </c>
      <c r="DC32" t="s">
        <v>3</v>
      </c>
      <c r="DD32" t="s">
        <v>3</v>
      </c>
      <c r="DE32" t="s">
        <v>3</v>
      </c>
      <c r="DF32" t="s">
        <v>3</v>
      </c>
      <c r="DG32" t="s">
        <v>3</v>
      </c>
      <c r="DH32" t="s">
        <v>3</v>
      </c>
      <c r="DI32" t="s">
        <v>3</v>
      </c>
      <c r="DJ32" t="s">
        <v>3</v>
      </c>
      <c r="DK32" t="s">
        <v>3</v>
      </c>
      <c r="DL32" t="s">
        <v>3</v>
      </c>
      <c r="DM32" t="s">
        <v>3</v>
      </c>
      <c r="DN32">
        <v>91</v>
      </c>
      <c r="DO32">
        <v>70</v>
      </c>
      <c r="DP32">
        <v>1.0469999999999999</v>
      </c>
      <c r="DQ32">
        <v>1.002</v>
      </c>
      <c r="DU32">
        <v>1013</v>
      </c>
      <c r="DV32" t="s">
        <v>56</v>
      </c>
      <c r="DW32" t="s">
        <v>56</v>
      </c>
      <c r="DX32">
        <v>1</v>
      </c>
      <c r="DZ32" t="s">
        <v>3</v>
      </c>
      <c r="EA32" t="s">
        <v>3</v>
      </c>
      <c r="EB32" t="s">
        <v>3</v>
      </c>
      <c r="EC32" t="s">
        <v>3</v>
      </c>
      <c r="EE32">
        <v>42064286</v>
      </c>
      <c r="EF32">
        <v>60</v>
      </c>
      <c r="EG32" t="s">
        <v>58</v>
      </c>
      <c r="EH32">
        <v>0</v>
      </c>
      <c r="EI32" t="s">
        <v>3</v>
      </c>
      <c r="EJ32">
        <v>1</v>
      </c>
      <c r="EK32">
        <v>682</v>
      </c>
      <c r="EL32" t="s">
        <v>59</v>
      </c>
      <c r="EM32" t="s">
        <v>60</v>
      </c>
      <c r="EO32" t="s">
        <v>3</v>
      </c>
      <c r="EQ32">
        <v>0</v>
      </c>
      <c r="ER32">
        <v>9.6199999999999992</v>
      </c>
      <c r="ES32">
        <v>0</v>
      </c>
      <c r="ET32">
        <v>0</v>
      </c>
      <c r="EU32">
        <v>0</v>
      </c>
      <c r="EV32">
        <v>9.6199999999999992</v>
      </c>
      <c r="EW32">
        <v>1.02</v>
      </c>
      <c r="EX32">
        <v>0</v>
      </c>
      <c r="EY32">
        <v>0</v>
      </c>
      <c r="FQ32">
        <v>0</v>
      </c>
      <c r="FR32">
        <f t="shared" si="46"/>
        <v>0</v>
      </c>
      <c r="FS32">
        <v>0</v>
      </c>
      <c r="FX32">
        <v>91</v>
      </c>
      <c r="FY32">
        <v>70</v>
      </c>
      <c r="GA32" t="s">
        <v>3</v>
      </c>
      <c r="GD32">
        <v>0</v>
      </c>
      <c r="GF32">
        <v>1569393369</v>
      </c>
      <c r="GG32">
        <v>2</v>
      </c>
      <c r="GH32">
        <v>1</v>
      </c>
      <c r="GI32">
        <v>2</v>
      </c>
      <c r="GJ32">
        <v>0</v>
      </c>
      <c r="GK32">
        <f>ROUND(R32*(R12)/100,2)</f>
        <v>0</v>
      </c>
      <c r="GL32">
        <f t="shared" si="47"/>
        <v>0</v>
      </c>
      <c r="GM32">
        <f t="shared" si="48"/>
        <v>4946.25</v>
      </c>
      <c r="GN32">
        <f t="shared" si="49"/>
        <v>4946.25</v>
      </c>
      <c r="GO32">
        <f t="shared" si="50"/>
        <v>0</v>
      </c>
      <c r="GP32">
        <f t="shared" si="51"/>
        <v>0</v>
      </c>
      <c r="GR32">
        <v>0</v>
      </c>
      <c r="GS32">
        <v>3</v>
      </c>
      <c r="GT32">
        <v>0</v>
      </c>
      <c r="GU32" t="s">
        <v>3</v>
      </c>
      <c r="GV32">
        <f t="shared" si="52"/>
        <v>0</v>
      </c>
      <c r="GW32">
        <v>1</v>
      </c>
      <c r="GX32">
        <f t="shared" si="53"/>
        <v>0</v>
      </c>
      <c r="HA32">
        <v>0</v>
      </c>
      <c r="HB32">
        <v>0</v>
      </c>
      <c r="HC32">
        <f t="shared" si="54"/>
        <v>0</v>
      </c>
      <c r="HE32" t="s">
        <v>3</v>
      </c>
      <c r="HF32" t="s">
        <v>3</v>
      </c>
      <c r="HM32" t="s">
        <v>3</v>
      </c>
      <c r="HN32" t="s">
        <v>3</v>
      </c>
      <c r="HO32" t="s">
        <v>3</v>
      </c>
      <c r="HP32" t="s">
        <v>3</v>
      </c>
      <c r="HQ32" t="s">
        <v>3</v>
      </c>
      <c r="IK32">
        <v>0</v>
      </c>
    </row>
    <row r="33" spans="1:245" x14ac:dyDescent="0.2">
      <c r="A33">
        <v>17</v>
      </c>
      <c r="B33">
        <v>1</v>
      </c>
      <c r="C33">
        <f>ROW(SmtRes!A13)</f>
        <v>13</v>
      </c>
      <c r="D33">
        <f>ROW(EtalonRes!A13)</f>
        <v>13</v>
      </c>
      <c r="E33" t="s">
        <v>61</v>
      </c>
      <c r="F33" t="s">
        <v>62</v>
      </c>
      <c r="G33" t="s">
        <v>63</v>
      </c>
      <c r="H33" t="s">
        <v>64</v>
      </c>
      <c r="I33">
        <f>ROUND(I32,9)</f>
        <v>7.93</v>
      </c>
      <c r="J33">
        <v>0</v>
      </c>
      <c r="K33">
        <f>ROUND(I32,9)</f>
        <v>7.93</v>
      </c>
      <c r="O33">
        <f t="shared" si="21"/>
        <v>2171.2199999999998</v>
      </c>
      <c r="P33">
        <f t="shared" si="22"/>
        <v>0</v>
      </c>
      <c r="Q33">
        <f t="shared" si="23"/>
        <v>2171.2199999999998</v>
      </c>
      <c r="R33">
        <f t="shared" si="24"/>
        <v>0</v>
      </c>
      <c r="S33">
        <f t="shared" si="25"/>
        <v>0</v>
      </c>
      <c r="T33">
        <f t="shared" si="26"/>
        <v>0</v>
      </c>
      <c r="U33">
        <f t="shared" si="27"/>
        <v>0</v>
      </c>
      <c r="V33">
        <f t="shared" si="28"/>
        <v>0</v>
      </c>
      <c r="W33">
        <f t="shared" si="29"/>
        <v>0</v>
      </c>
      <c r="X33">
        <f t="shared" si="30"/>
        <v>0</v>
      </c>
      <c r="Y33">
        <f t="shared" si="30"/>
        <v>0</v>
      </c>
      <c r="AA33">
        <v>59267179</v>
      </c>
      <c r="AB33">
        <f t="shared" si="31"/>
        <v>20.54</v>
      </c>
      <c r="AC33">
        <f t="shared" si="55"/>
        <v>0</v>
      </c>
      <c r="AD33">
        <f t="shared" si="55"/>
        <v>20.54</v>
      </c>
      <c r="AE33">
        <f t="shared" si="55"/>
        <v>0</v>
      </c>
      <c r="AF33">
        <f t="shared" si="55"/>
        <v>0</v>
      </c>
      <c r="AG33">
        <f t="shared" si="33"/>
        <v>0</v>
      </c>
      <c r="AH33">
        <f>(EW33)</f>
        <v>0</v>
      </c>
      <c r="AI33">
        <f>(EX33)</f>
        <v>0</v>
      </c>
      <c r="AJ33">
        <f t="shared" si="35"/>
        <v>0</v>
      </c>
      <c r="AK33">
        <v>20.54</v>
      </c>
      <c r="AL33">
        <v>0</v>
      </c>
      <c r="AM33">
        <v>20.54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95</v>
      </c>
      <c r="AU33">
        <v>65</v>
      </c>
      <c r="AV33">
        <v>1</v>
      </c>
      <c r="AW33">
        <v>1</v>
      </c>
      <c r="AZ33">
        <v>1</v>
      </c>
      <c r="BA33">
        <v>1</v>
      </c>
      <c r="BB33">
        <v>13.33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4</v>
      </c>
      <c r="BJ33" t="s">
        <v>65</v>
      </c>
      <c r="BM33">
        <v>1113</v>
      </c>
      <c r="BN33">
        <v>0</v>
      </c>
      <c r="BO33" t="s">
        <v>62</v>
      </c>
      <c r="BP33">
        <v>1</v>
      </c>
      <c r="BQ33">
        <v>150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95</v>
      </c>
      <c r="CA33">
        <v>65</v>
      </c>
      <c r="CB33" t="s">
        <v>3</v>
      </c>
      <c r="CE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36"/>
        <v>2171.2199999999998</v>
      </c>
      <c r="CQ33">
        <f t="shared" si="37"/>
        <v>0</v>
      </c>
      <c r="CR33">
        <f t="shared" si="38"/>
        <v>273.79820000000001</v>
      </c>
      <c r="CS33">
        <f t="shared" si="39"/>
        <v>0</v>
      </c>
      <c r="CT33">
        <f t="shared" si="40"/>
        <v>0</v>
      </c>
      <c r="CU33">
        <f t="shared" si="41"/>
        <v>0</v>
      </c>
      <c r="CV33">
        <f t="shared" si="42"/>
        <v>0</v>
      </c>
      <c r="CW33">
        <f t="shared" si="43"/>
        <v>0</v>
      </c>
      <c r="CX33">
        <f t="shared" si="43"/>
        <v>0</v>
      </c>
      <c r="CY33">
        <f t="shared" si="44"/>
        <v>0</v>
      </c>
      <c r="CZ33">
        <f t="shared" si="45"/>
        <v>0</v>
      </c>
      <c r="DC33" t="s">
        <v>3</v>
      </c>
      <c r="DD33" t="s">
        <v>3</v>
      </c>
      <c r="DE33" t="s">
        <v>3</v>
      </c>
      <c r="DF33" t="s">
        <v>3</v>
      </c>
      <c r="DG33" t="s">
        <v>3</v>
      </c>
      <c r="DH33" t="s">
        <v>3</v>
      </c>
      <c r="DI33" t="s">
        <v>3</v>
      </c>
      <c r="DJ33" t="s">
        <v>3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1009</v>
      </c>
      <c r="DV33" t="s">
        <v>64</v>
      </c>
      <c r="DW33" t="s">
        <v>64</v>
      </c>
      <c r="DX33">
        <v>1000</v>
      </c>
      <c r="DZ33" t="s">
        <v>3</v>
      </c>
      <c r="EA33" t="s">
        <v>3</v>
      </c>
      <c r="EB33" t="s">
        <v>3</v>
      </c>
      <c r="EC33" t="s">
        <v>3</v>
      </c>
      <c r="EE33">
        <v>42064717</v>
      </c>
      <c r="EF33">
        <v>150</v>
      </c>
      <c r="EG33" t="s">
        <v>66</v>
      </c>
      <c r="EH33">
        <v>0</v>
      </c>
      <c r="EI33" t="s">
        <v>3</v>
      </c>
      <c r="EJ33">
        <v>4</v>
      </c>
      <c r="EK33">
        <v>1113</v>
      </c>
      <c r="EL33" t="s">
        <v>67</v>
      </c>
      <c r="EM33" t="s">
        <v>68</v>
      </c>
      <c r="EO33" t="s">
        <v>3</v>
      </c>
      <c r="EQ33">
        <v>0</v>
      </c>
      <c r="ER33">
        <v>20.54</v>
      </c>
      <c r="ES33">
        <v>0</v>
      </c>
      <c r="ET33">
        <v>20.54</v>
      </c>
      <c r="EU33">
        <v>0</v>
      </c>
      <c r="EV33">
        <v>0</v>
      </c>
      <c r="EW33">
        <v>0</v>
      </c>
      <c r="EX33">
        <v>0</v>
      </c>
      <c r="EY33">
        <v>0</v>
      </c>
      <c r="FQ33">
        <v>0</v>
      </c>
      <c r="FR33">
        <f t="shared" si="46"/>
        <v>0</v>
      </c>
      <c r="FS33">
        <v>0</v>
      </c>
      <c r="FX33">
        <v>0</v>
      </c>
      <c r="FY33">
        <v>0</v>
      </c>
      <c r="GA33" t="s">
        <v>3</v>
      </c>
      <c r="GD33">
        <v>0</v>
      </c>
      <c r="GF33">
        <v>-739469305</v>
      </c>
      <c r="GG33">
        <v>2</v>
      </c>
      <c r="GH33">
        <v>1</v>
      </c>
      <c r="GI33">
        <v>2</v>
      </c>
      <c r="GJ33">
        <v>0</v>
      </c>
      <c r="GK33">
        <f>ROUND(R33*(R12)/100,2)</f>
        <v>0</v>
      </c>
      <c r="GL33">
        <f t="shared" si="47"/>
        <v>0</v>
      </c>
      <c r="GM33">
        <f t="shared" si="48"/>
        <v>2171.2199999999998</v>
      </c>
      <c r="GN33">
        <f t="shared" si="49"/>
        <v>0</v>
      </c>
      <c r="GO33">
        <f t="shared" si="50"/>
        <v>0</v>
      </c>
      <c r="GP33">
        <f t="shared" si="51"/>
        <v>2171.2199999999998</v>
      </c>
      <c r="GR33">
        <v>0</v>
      </c>
      <c r="GS33">
        <v>3</v>
      </c>
      <c r="GT33">
        <v>0</v>
      </c>
      <c r="GU33" t="s">
        <v>3</v>
      </c>
      <c r="GV33">
        <f t="shared" si="52"/>
        <v>0</v>
      </c>
      <c r="GW33">
        <v>1</v>
      </c>
      <c r="GX33">
        <f t="shared" si="53"/>
        <v>0</v>
      </c>
      <c r="HA33">
        <v>0</v>
      </c>
      <c r="HB33">
        <v>0</v>
      </c>
      <c r="HC33">
        <f t="shared" si="54"/>
        <v>0</v>
      </c>
      <c r="HE33" t="s">
        <v>3</v>
      </c>
      <c r="HF33" t="s">
        <v>3</v>
      </c>
      <c r="HM33" t="s">
        <v>3</v>
      </c>
      <c r="HN33" t="s">
        <v>3</v>
      </c>
      <c r="HO33" t="s">
        <v>3</v>
      </c>
      <c r="HP33" t="s">
        <v>3</v>
      </c>
      <c r="HQ33" t="s">
        <v>3</v>
      </c>
      <c r="IK33">
        <v>0</v>
      </c>
    </row>
    <row r="35" spans="1:245" x14ac:dyDescent="0.2">
      <c r="A35" s="2">
        <v>51</v>
      </c>
      <c r="B35" s="2">
        <f>B24</f>
        <v>1</v>
      </c>
      <c r="C35" s="2">
        <f>A24</f>
        <v>4</v>
      </c>
      <c r="D35" s="2">
        <f>ROW(A24)</f>
        <v>24</v>
      </c>
      <c r="E35" s="2"/>
      <c r="F35" s="2" t="str">
        <f>IF(F24&lt;&gt;"",F24,"")</f>
        <v>Новый раздел</v>
      </c>
      <c r="G35" s="2" t="str">
        <f>IF(G24&lt;&gt;"",G24,"")</f>
        <v>Демонтажные работы</v>
      </c>
      <c r="H35" s="2">
        <v>0</v>
      </c>
      <c r="I35" s="2"/>
      <c r="J35" s="2"/>
      <c r="K35" s="2"/>
      <c r="L35" s="2"/>
      <c r="M35" s="2"/>
      <c r="N35" s="2"/>
      <c r="O35" s="2">
        <f t="shared" ref="O35:T35" si="56">ROUND(AB35,2)</f>
        <v>14375.55</v>
      </c>
      <c r="P35" s="2">
        <f t="shared" si="56"/>
        <v>0</v>
      </c>
      <c r="Q35" s="2">
        <f t="shared" si="56"/>
        <v>4707.38</v>
      </c>
      <c r="R35" s="2">
        <f t="shared" si="56"/>
        <v>1246.8499999999999</v>
      </c>
      <c r="S35" s="2">
        <f t="shared" si="56"/>
        <v>9668.17</v>
      </c>
      <c r="T35" s="2">
        <f t="shared" si="56"/>
        <v>0</v>
      </c>
      <c r="U35" s="2">
        <f>AH35</f>
        <v>28.958516249999995</v>
      </c>
      <c r="V35" s="2">
        <f>AI35</f>
        <v>0</v>
      </c>
      <c r="W35" s="2">
        <f>ROUND(AJ35,2)</f>
        <v>0</v>
      </c>
      <c r="X35" s="2">
        <f>ROUND(AK35,2)</f>
        <v>8708.09</v>
      </c>
      <c r="Y35" s="2">
        <f>ROUND(AL35,2)</f>
        <v>4192.57</v>
      </c>
      <c r="Z35" s="2"/>
      <c r="AA35" s="2"/>
      <c r="AB35" s="2">
        <f>ROUND(SUMIF(AA28:AA33,"=59267179",O28:O33),2)</f>
        <v>14375.55</v>
      </c>
      <c r="AC35" s="2">
        <f>ROUND(SUMIF(AA28:AA33,"=59267179",P28:P33),2)</f>
        <v>0</v>
      </c>
      <c r="AD35" s="2">
        <f>ROUND(SUMIF(AA28:AA33,"=59267179",Q28:Q33),2)</f>
        <v>4707.38</v>
      </c>
      <c r="AE35" s="2">
        <f>ROUND(SUMIF(AA28:AA33,"=59267179",R28:R33),2)</f>
        <v>1246.8499999999999</v>
      </c>
      <c r="AF35" s="2">
        <f>ROUND(SUMIF(AA28:AA33,"=59267179",S28:S33),2)</f>
        <v>9668.17</v>
      </c>
      <c r="AG35" s="2">
        <f>ROUND(SUMIF(AA28:AA33,"=59267179",T28:T33),2)</f>
        <v>0</v>
      </c>
      <c r="AH35" s="2">
        <f>SUMIF(AA28:AA33,"=59267179",U28:U33)</f>
        <v>28.958516249999995</v>
      </c>
      <c r="AI35" s="2">
        <f>SUMIF(AA28:AA33,"=59267179",V28:V33)</f>
        <v>0</v>
      </c>
      <c r="AJ35" s="2">
        <f>ROUND(SUMIF(AA28:AA33,"=59267179",W28:W33),2)</f>
        <v>0</v>
      </c>
      <c r="AK35" s="2">
        <f>ROUND(SUMIF(AA28:AA33,"=59267179",X28:X33),2)</f>
        <v>8708.09</v>
      </c>
      <c r="AL35" s="2">
        <f>ROUND(SUMIF(AA28:AA33,"=59267179",Y28:Y33),2)</f>
        <v>4192.57</v>
      </c>
      <c r="AM35" s="2"/>
      <c r="AN35" s="2"/>
      <c r="AO35" s="2">
        <f t="shared" ref="AO35:BD35" si="57">ROUND(BX35,2)</f>
        <v>0</v>
      </c>
      <c r="AP35" s="2">
        <f t="shared" si="57"/>
        <v>0</v>
      </c>
      <c r="AQ35" s="2">
        <f t="shared" si="57"/>
        <v>0</v>
      </c>
      <c r="AR35" s="2">
        <f t="shared" si="57"/>
        <v>29271.17</v>
      </c>
      <c r="AS35" s="2">
        <f t="shared" si="57"/>
        <v>7785.35</v>
      </c>
      <c r="AT35" s="2">
        <f t="shared" si="57"/>
        <v>19314.599999999999</v>
      </c>
      <c r="AU35" s="2">
        <f t="shared" si="57"/>
        <v>2171.2199999999998</v>
      </c>
      <c r="AV35" s="2">
        <f t="shared" si="57"/>
        <v>0</v>
      </c>
      <c r="AW35" s="2">
        <f t="shared" si="57"/>
        <v>0</v>
      </c>
      <c r="AX35" s="2">
        <f t="shared" si="57"/>
        <v>0</v>
      </c>
      <c r="AY35" s="2">
        <f t="shared" si="57"/>
        <v>0</v>
      </c>
      <c r="AZ35" s="2">
        <f t="shared" si="57"/>
        <v>0</v>
      </c>
      <c r="BA35" s="2">
        <f t="shared" si="57"/>
        <v>0</v>
      </c>
      <c r="BB35" s="2">
        <f t="shared" si="57"/>
        <v>0</v>
      </c>
      <c r="BC35" s="2">
        <f t="shared" si="57"/>
        <v>0</v>
      </c>
      <c r="BD35" s="2">
        <f t="shared" si="57"/>
        <v>0</v>
      </c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>
        <f>ROUND(SUMIF(AA28:AA33,"=59267179",FQ28:FQ33),2)</f>
        <v>0</v>
      </c>
      <c r="BY35" s="2">
        <f>ROUND(SUMIF(AA28:AA33,"=59267179",FR28:FR33),2)</f>
        <v>0</v>
      </c>
      <c r="BZ35" s="2">
        <f>ROUND(SUMIF(AA28:AA33,"=59267179",GL28:GL33),2)</f>
        <v>0</v>
      </c>
      <c r="CA35" s="2">
        <f>ROUND(SUMIF(AA28:AA33,"=59267179",GM28:GM33),2)</f>
        <v>29271.17</v>
      </c>
      <c r="CB35" s="2">
        <f>ROUND(SUMIF(AA28:AA33,"=59267179",GN28:GN33),2)</f>
        <v>7785.35</v>
      </c>
      <c r="CC35" s="2">
        <f>ROUND(SUMIF(AA28:AA33,"=59267179",GO28:GO33),2)</f>
        <v>19314.599999999999</v>
      </c>
      <c r="CD35" s="2">
        <f>ROUND(SUMIF(AA28:AA33,"=59267179",GP28:GP33),2)</f>
        <v>2171.2199999999998</v>
      </c>
      <c r="CE35" s="2">
        <f>AC35-BX35</f>
        <v>0</v>
      </c>
      <c r="CF35" s="2">
        <f>AC35-BY35</f>
        <v>0</v>
      </c>
      <c r="CG35" s="2">
        <f>BX35-BZ35</f>
        <v>0</v>
      </c>
      <c r="CH35" s="2">
        <f>AC35-BX35-BY35+BZ35</f>
        <v>0</v>
      </c>
      <c r="CI35" s="2">
        <f>BY35-BZ35</f>
        <v>0</v>
      </c>
      <c r="CJ35" s="2">
        <f>ROUND(SUMIF(AA28:AA33,"=59267179",GX28:GX33),2)</f>
        <v>0</v>
      </c>
      <c r="CK35" s="2">
        <f>ROUND(SUMIF(AA28:AA33,"=59267179",GY28:GY33),2)</f>
        <v>0</v>
      </c>
      <c r="CL35" s="2">
        <f>ROUND(SUMIF(AA28:AA33,"=59267179",GZ28:GZ33),2)</f>
        <v>0</v>
      </c>
      <c r="CM35" s="2">
        <f>ROUND(SUMIF(AA28:AA33,"=59267179",HD28:HD33),2)</f>
        <v>0</v>
      </c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>
        <v>0</v>
      </c>
    </row>
    <row r="37" spans="1:245" x14ac:dyDescent="0.2">
      <c r="A37" s="4">
        <v>50</v>
      </c>
      <c r="B37" s="4">
        <v>0</v>
      </c>
      <c r="C37" s="4">
        <v>0</v>
      </c>
      <c r="D37" s="4">
        <v>1</v>
      </c>
      <c r="E37" s="4">
        <v>201</v>
      </c>
      <c r="F37" s="4">
        <f>ROUND(Source!O35,O37)</f>
        <v>14375.55</v>
      </c>
      <c r="G37" s="4" t="s">
        <v>69</v>
      </c>
      <c r="H37" s="4" t="s">
        <v>70</v>
      </c>
      <c r="I37" s="4"/>
      <c r="J37" s="4"/>
      <c r="K37" s="4">
        <v>201</v>
      </c>
      <c r="L37" s="4">
        <v>1</v>
      </c>
      <c r="M37" s="4">
        <v>3</v>
      </c>
      <c r="N37" s="4" t="s">
        <v>3</v>
      </c>
      <c r="O37" s="4">
        <v>2</v>
      </c>
      <c r="P37" s="4"/>
      <c r="Q37" s="4"/>
      <c r="R37" s="4"/>
      <c r="S37" s="4"/>
      <c r="T37" s="4"/>
      <c r="U37" s="4"/>
      <c r="V37" s="4"/>
      <c r="W37" s="4">
        <v>14375.55</v>
      </c>
      <c r="X37" s="4">
        <v>1</v>
      </c>
      <c r="Y37" s="4">
        <v>14375.55</v>
      </c>
      <c r="Z37" s="4"/>
      <c r="AA37" s="4"/>
      <c r="AB37" s="4"/>
    </row>
    <row r="38" spans="1:245" x14ac:dyDescent="0.2">
      <c r="A38" s="4">
        <v>50</v>
      </c>
      <c r="B38" s="4">
        <v>0</v>
      </c>
      <c r="C38" s="4">
        <v>0</v>
      </c>
      <c r="D38" s="4">
        <v>1</v>
      </c>
      <c r="E38" s="4">
        <v>202</v>
      </c>
      <c r="F38" s="4">
        <f>ROUND(Source!P35,O38)</f>
        <v>0</v>
      </c>
      <c r="G38" s="4" t="s">
        <v>71</v>
      </c>
      <c r="H38" s="4" t="s">
        <v>72</v>
      </c>
      <c r="I38" s="4"/>
      <c r="J38" s="4"/>
      <c r="K38" s="4">
        <v>202</v>
      </c>
      <c r="L38" s="4">
        <v>2</v>
      </c>
      <c r="M38" s="4">
        <v>3</v>
      </c>
      <c r="N38" s="4" t="s">
        <v>3</v>
      </c>
      <c r="O38" s="4">
        <v>2</v>
      </c>
      <c r="P38" s="4"/>
      <c r="Q38" s="4"/>
      <c r="R38" s="4"/>
      <c r="S38" s="4"/>
      <c r="T38" s="4"/>
      <c r="U38" s="4"/>
      <c r="V38" s="4"/>
      <c r="W38" s="4">
        <v>0</v>
      </c>
      <c r="X38" s="4">
        <v>1</v>
      </c>
      <c r="Y38" s="4">
        <v>0</v>
      </c>
      <c r="Z38" s="4"/>
      <c r="AA38" s="4"/>
      <c r="AB38" s="4"/>
    </row>
    <row r="39" spans="1:245" x14ac:dyDescent="0.2">
      <c r="A39" s="4">
        <v>50</v>
      </c>
      <c r="B39" s="4">
        <v>0</v>
      </c>
      <c r="C39" s="4">
        <v>0</v>
      </c>
      <c r="D39" s="4">
        <v>1</v>
      </c>
      <c r="E39" s="4">
        <v>222</v>
      </c>
      <c r="F39" s="4">
        <f>ROUND(Source!AO35,O39)</f>
        <v>0</v>
      </c>
      <c r="G39" s="4" t="s">
        <v>73</v>
      </c>
      <c r="H39" s="4" t="s">
        <v>74</v>
      </c>
      <c r="I39" s="4"/>
      <c r="J39" s="4"/>
      <c r="K39" s="4">
        <v>222</v>
      </c>
      <c r="L39" s="4">
        <v>3</v>
      </c>
      <c r="M39" s="4">
        <v>3</v>
      </c>
      <c r="N39" s="4" t="s">
        <v>3</v>
      </c>
      <c r="O39" s="4">
        <v>2</v>
      </c>
      <c r="P39" s="4"/>
      <c r="Q39" s="4"/>
      <c r="R39" s="4"/>
      <c r="S39" s="4"/>
      <c r="T39" s="4"/>
      <c r="U39" s="4"/>
      <c r="V39" s="4"/>
      <c r="W39" s="4">
        <v>0</v>
      </c>
      <c r="X39" s="4">
        <v>1</v>
      </c>
      <c r="Y39" s="4">
        <v>0</v>
      </c>
      <c r="Z39" s="4"/>
      <c r="AA39" s="4"/>
      <c r="AB39" s="4"/>
    </row>
    <row r="40" spans="1:245" x14ac:dyDescent="0.2">
      <c r="A40" s="4">
        <v>50</v>
      </c>
      <c r="B40" s="4">
        <v>0</v>
      </c>
      <c r="C40" s="4">
        <v>0</v>
      </c>
      <c r="D40" s="4">
        <v>1</v>
      </c>
      <c r="E40" s="4">
        <v>225</v>
      </c>
      <c r="F40" s="4">
        <f>ROUND(Source!AV35,O40)</f>
        <v>0</v>
      </c>
      <c r="G40" s="4" t="s">
        <v>75</v>
      </c>
      <c r="H40" s="4" t="s">
        <v>76</v>
      </c>
      <c r="I40" s="4"/>
      <c r="J40" s="4"/>
      <c r="K40" s="4">
        <v>225</v>
      </c>
      <c r="L40" s="4">
        <v>4</v>
      </c>
      <c r="M40" s="4">
        <v>3</v>
      </c>
      <c r="N40" s="4" t="s">
        <v>3</v>
      </c>
      <c r="O40" s="4">
        <v>2</v>
      </c>
      <c r="P40" s="4"/>
      <c r="Q40" s="4"/>
      <c r="R40" s="4"/>
      <c r="S40" s="4"/>
      <c r="T40" s="4"/>
      <c r="U40" s="4"/>
      <c r="V40" s="4"/>
      <c r="W40" s="4">
        <v>0</v>
      </c>
      <c r="X40" s="4">
        <v>1</v>
      </c>
      <c r="Y40" s="4">
        <v>0</v>
      </c>
      <c r="Z40" s="4"/>
      <c r="AA40" s="4"/>
      <c r="AB40" s="4"/>
    </row>
    <row r="41" spans="1:245" x14ac:dyDescent="0.2">
      <c r="A41" s="4">
        <v>50</v>
      </c>
      <c r="B41" s="4">
        <v>0</v>
      </c>
      <c r="C41" s="4">
        <v>0</v>
      </c>
      <c r="D41" s="4">
        <v>1</v>
      </c>
      <c r="E41" s="4">
        <v>226</v>
      </c>
      <c r="F41" s="4">
        <f>ROUND(Source!AW35,O41)</f>
        <v>0</v>
      </c>
      <c r="G41" s="4" t="s">
        <v>77</v>
      </c>
      <c r="H41" s="4" t="s">
        <v>78</v>
      </c>
      <c r="I41" s="4"/>
      <c r="J41" s="4"/>
      <c r="K41" s="4">
        <v>226</v>
      </c>
      <c r="L41" s="4">
        <v>5</v>
      </c>
      <c r="M41" s="4">
        <v>3</v>
      </c>
      <c r="N41" s="4" t="s">
        <v>3</v>
      </c>
      <c r="O41" s="4">
        <v>2</v>
      </c>
      <c r="P41" s="4"/>
      <c r="Q41" s="4"/>
      <c r="R41" s="4"/>
      <c r="S41" s="4"/>
      <c r="T41" s="4"/>
      <c r="U41" s="4"/>
      <c r="V41" s="4"/>
      <c r="W41" s="4">
        <v>0</v>
      </c>
      <c r="X41" s="4">
        <v>1</v>
      </c>
      <c r="Y41" s="4">
        <v>0</v>
      </c>
      <c r="Z41" s="4"/>
      <c r="AA41" s="4"/>
      <c r="AB41" s="4"/>
    </row>
    <row r="42" spans="1:245" x14ac:dyDescent="0.2">
      <c r="A42" s="4">
        <v>50</v>
      </c>
      <c r="B42" s="4">
        <v>0</v>
      </c>
      <c r="C42" s="4">
        <v>0</v>
      </c>
      <c r="D42" s="4">
        <v>1</v>
      </c>
      <c r="E42" s="4">
        <v>227</v>
      </c>
      <c r="F42" s="4">
        <f>ROUND(Source!AX35,O42)</f>
        <v>0</v>
      </c>
      <c r="G42" s="4" t="s">
        <v>79</v>
      </c>
      <c r="H42" s="4" t="s">
        <v>80</v>
      </c>
      <c r="I42" s="4"/>
      <c r="J42" s="4"/>
      <c r="K42" s="4">
        <v>227</v>
      </c>
      <c r="L42" s="4">
        <v>6</v>
      </c>
      <c r="M42" s="4">
        <v>3</v>
      </c>
      <c r="N42" s="4" t="s">
        <v>3</v>
      </c>
      <c r="O42" s="4">
        <v>2</v>
      </c>
      <c r="P42" s="4"/>
      <c r="Q42" s="4"/>
      <c r="R42" s="4"/>
      <c r="S42" s="4"/>
      <c r="T42" s="4"/>
      <c r="U42" s="4"/>
      <c r="V42" s="4"/>
      <c r="W42" s="4">
        <v>0</v>
      </c>
      <c r="X42" s="4">
        <v>1</v>
      </c>
      <c r="Y42" s="4">
        <v>0</v>
      </c>
      <c r="Z42" s="4"/>
      <c r="AA42" s="4"/>
      <c r="AB42" s="4"/>
    </row>
    <row r="43" spans="1:245" x14ac:dyDescent="0.2">
      <c r="A43" s="4">
        <v>50</v>
      </c>
      <c r="B43" s="4">
        <v>0</v>
      </c>
      <c r="C43" s="4">
        <v>0</v>
      </c>
      <c r="D43" s="4">
        <v>1</v>
      </c>
      <c r="E43" s="4">
        <v>228</v>
      </c>
      <c r="F43" s="4">
        <f>ROUND(Source!AY35,O43)</f>
        <v>0</v>
      </c>
      <c r="G43" s="4" t="s">
        <v>81</v>
      </c>
      <c r="H43" s="4" t="s">
        <v>82</v>
      </c>
      <c r="I43" s="4"/>
      <c r="J43" s="4"/>
      <c r="K43" s="4">
        <v>228</v>
      </c>
      <c r="L43" s="4">
        <v>7</v>
      </c>
      <c r="M43" s="4">
        <v>3</v>
      </c>
      <c r="N43" s="4" t="s">
        <v>3</v>
      </c>
      <c r="O43" s="4">
        <v>2</v>
      </c>
      <c r="P43" s="4"/>
      <c r="Q43" s="4"/>
      <c r="R43" s="4"/>
      <c r="S43" s="4"/>
      <c r="T43" s="4"/>
      <c r="U43" s="4"/>
      <c r="V43" s="4"/>
      <c r="W43" s="4">
        <v>0</v>
      </c>
      <c r="X43" s="4">
        <v>1</v>
      </c>
      <c r="Y43" s="4">
        <v>0</v>
      </c>
      <c r="Z43" s="4"/>
      <c r="AA43" s="4"/>
      <c r="AB43" s="4"/>
    </row>
    <row r="44" spans="1:245" x14ac:dyDescent="0.2">
      <c r="A44" s="4">
        <v>50</v>
      </c>
      <c r="B44" s="4">
        <v>0</v>
      </c>
      <c r="C44" s="4">
        <v>0</v>
      </c>
      <c r="D44" s="4">
        <v>1</v>
      </c>
      <c r="E44" s="4">
        <v>216</v>
      </c>
      <c r="F44" s="4">
        <f>ROUND(Source!AP35,O44)</f>
        <v>0</v>
      </c>
      <c r="G44" s="4" t="s">
        <v>83</v>
      </c>
      <c r="H44" s="4" t="s">
        <v>84</v>
      </c>
      <c r="I44" s="4"/>
      <c r="J44" s="4"/>
      <c r="K44" s="4">
        <v>216</v>
      </c>
      <c r="L44" s="4">
        <v>8</v>
      </c>
      <c r="M44" s="4">
        <v>3</v>
      </c>
      <c r="N44" s="4" t="s">
        <v>3</v>
      </c>
      <c r="O44" s="4">
        <v>2</v>
      </c>
      <c r="P44" s="4"/>
      <c r="Q44" s="4"/>
      <c r="R44" s="4"/>
      <c r="S44" s="4"/>
      <c r="T44" s="4"/>
      <c r="U44" s="4"/>
      <c r="V44" s="4"/>
      <c r="W44" s="4">
        <v>0</v>
      </c>
      <c r="X44" s="4">
        <v>1</v>
      </c>
      <c r="Y44" s="4">
        <v>0</v>
      </c>
      <c r="Z44" s="4"/>
      <c r="AA44" s="4"/>
      <c r="AB44" s="4"/>
    </row>
    <row r="45" spans="1:245" x14ac:dyDescent="0.2">
      <c r="A45" s="4">
        <v>50</v>
      </c>
      <c r="B45" s="4">
        <v>0</v>
      </c>
      <c r="C45" s="4">
        <v>0</v>
      </c>
      <c r="D45" s="4">
        <v>1</v>
      </c>
      <c r="E45" s="4">
        <v>223</v>
      </c>
      <c r="F45" s="4">
        <f>ROUND(Source!AQ35,O45)</f>
        <v>0</v>
      </c>
      <c r="G45" s="4" t="s">
        <v>85</v>
      </c>
      <c r="H45" s="4" t="s">
        <v>86</v>
      </c>
      <c r="I45" s="4"/>
      <c r="J45" s="4"/>
      <c r="K45" s="4">
        <v>223</v>
      </c>
      <c r="L45" s="4">
        <v>9</v>
      </c>
      <c r="M45" s="4">
        <v>3</v>
      </c>
      <c r="N45" s="4" t="s">
        <v>3</v>
      </c>
      <c r="O45" s="4">
        <v>2</v>
      </c>
      <c r="P45" s="4"/>
      <c r="Q45" s="4"/>
      <c r="R45" s="4"/>
      <c r="S45" s="4"/>
      <c r="T45" s="4"/>
      <c r="U45" s="4"/>
      <c r="V45" s="4"/>
      <c r="W45" s="4">
        <v>0</v>
      </c>
      <c r="X45" s="4">
        <v>1</v>
      </c>
      <c r="Y45" s="4">
        <v>0</v>
      </c>
      <c r="Z45" s="4"/>
      <c r="AA45" s="4"/>
      <c r="AB45" s="4"/>
    </row>
    <row r="46" spans="1:245" x14ac:dyDescent="0.2">
      <c r="A46" s="4">
        <v>50</v>
      </c>
      <c r="B46" s="4">
        <v>0</v>
      </c>
      <c r="C46" s="4">
        <v>0</v>
      </c>
      <c r="D46" s="4">
        <v>1</v>
      </c>
      <c r="E46" s="4">
        <v>229</v>
      </c>
      <c r="F46" s="4">
        <f>ROUND(Source!AZ35,O46)</f>
        <v>0</v>
      </c>
      <c r="G46" s="4" t="s">
        <v>87</v>
      </c>
      <c r="H46" s="4" t="s">
        <v>88</v>
      </c>
      <c r="I46" s="4"/>
      <c r="J46" s="4"/>
      <c r="K46" s="4">
        <v>229</v>
      </c>
      <c r="L46" s="4">
        <v>10</v>
      </c>
      <c r="M46" s="4">
        <v>3</v>
      </c>
      <c r="N46" s="4" t="s">
        <v>3</v>
      </c>
      <c r="O46" s="4">
        <v>2</v>
      </c>
      <c r="P46" s="4"/>
      <c r="Q46" s="4"/>
      <c r="R46" s="4"/>
      <c r="S46" s="4"/>
      <c r="T46" s="4"/>
      <c r="U46" s="4"/>
      <c r="V46" s="4"/>
      <c r="W46" s="4">
        <v>0</v>
      </c>
      <c r="X46" s="4">
        <v>1</v>
      </c>
      <c r="Y46" s="4">
        <v>0</v>
      </c>
      <c r="Z46" s="4"/>
      <c r="AA46" s="4"/>
      <c r="AB46" s="4"/>
    </row>
    <row r="47" spans="1:245" x14ac:dyDescent="0.2">
      <c r="A47" s="4">
        <v>50</v>
      </c>
      <c r="B47" s="4">
        <v>0</v>
      </c>
      <c r="C47" s="4">
        <v>0</v>
      </c>
      <c r="D47" s="4">
        <v>1</v>
      </c>
      <c r="E47" s="4">
        <v>203</v>
      </c>
      <c r="F47" s="4">
        <f>ROUND(Source!Q35,O47)</f>
        <v>4707.38</v>
      </c>
      <c r="G47" s="4" t="s">
        <v>89</v>
      </c>
      <c r="H47" s="4" t="s">
        <v>90</v>
      </c>
      <c r="I47" s="4"/>
      <c r="J47" s="4"/>
      <c r="K47" s="4">
        <v>203</v>
      </c>
      <c r="L47" s="4">
        <v>11</v>
      </c>
      <c r="M47" s="4">
        <v>3</v>
      </c>
      <c r="N47" s="4" t="s">
        <v>3</v>
      </c>
      <c r="O47" s="4">
        <v>2</v>
      </c>
      <c r="P47" s="4"/>
      <c r="Q47" s="4"/>
      <c r="R47" s="4"/>
      <c r="S47" s="4"/>
      <c r="T47" s="4"/>
      <c r="U47" s="4"/>
      <c r="V47" s="4"/>
      <c r="W47" s="4">
        <v>4707.38</v>
      </c>
      <c r="X47" s="4">
        <v>1</v>
      </c>
      <c r="Y47" s="4">
        <v>4707.38</v>
      </c>
      <c r="Z47" s="4"/>
      <c r="AA47" s="4"/>
      <c r="AB47" s="4"/>
    </row>
    <row r="48" spans="1:245" x14ac:dyDescent="0.2">
      <c r="A48" s="4">
        <v>50</v>
      </c>
      <c r="B48" s="4">
        <v>0</v>
      </c>
      <c r="C48" s="4">
        <v>0</v>
      </c>
      <c r="D48" s="4">
        <v>1</v>
      </c>
      <c r="E48" s="4">
        <v>231</v>
      </c>
      <c r="F48" s="4">
        <f>ROUND(Source!BB35,O48)</f>
        <v>0</v>
      </c>
      <c r="G48" s="4" t="s">
        <v>91</v>
      </c>
      <c r="H48" s="4" t="s">
        <v>92</v>
      </c>
      <c r="I48" s="4"/>
      <c r="J48" s="4"/>
      <c r="K48" s="4">
        <v>231</v>
      </c>
      <c r="L48" s="4">
        <v>12</v>
      </c>
      <c r="M48" s="4">
        <v>3</v>
      </c>
      <c r="N48" s="4" t="s">
        <v>3</v>
      </c>
      <c r="O48" s="4">
        <v>2</v>
      </c>
      <c r="P48" s="4"/>
      <c r="Q48" s="4"/>
      <c r="R48" s="4"/>
      <c r="S48" s="4"/>
      <c r="T48" s="4"/>
      <c r="U48" s="4"/>
      <c r="V48" s="4"/>
      <c r="W48" s="4">
        <v>0</v>
      </c>
      <c r="X48" s="4">
        <v>1</v>
      </c>
      <c r="Y48" s="4">
        <v>0</v>
      </c>
      <c r="Z48" s="4"/>
      <c r="AA48" s="4"/>
      <c r="AB48" s="4"/>
    </row>
    <row r="49" spans="1:28" x14ac:dyDescent="0.2">
      <c r="A49" s="4">
        <v>50</v>
      </c>
      <c r="B49" s="4">
        <v>0</v>
      </c>
      <c r="C49" s="4">
        <v>0</v>
      </c>
      <c r="D49" s="4">
        <v>1</v>
      </c>
      <c r="E49" s="4">
        <v>204</v>
      </c>
      <c r="F49" s="4">
        <f>ROUND(Source!R35,O49)</f>
        <v>1246.8499999999999</v>
      </c>
      <c r="G49" s="4" t="s">
        <v>93</v>
      </c>
      <c r="H49" s="4" t="s">
        <v>94</v>
      </c>
      <c r="I49" s="4"/>
      <c r="J49" s="4"/>
      <c r="K49" s="4">
        <v>204</v>
      </c>
      <c r="L49" s="4">
        <v>13</v>
      </c>
      <c r="M49" s="4">
        <v>3</v>
      </c>
      <c r="N49" s="4" t="s">
        <v>3</v>
      </c>
      <c r="O49" s="4">
        <v>2</v>
      </c>
      <c r="P49" s="4"/>
      <c r="Q49" s="4"/>
      <c r="R49" s="4"/>
      <c r="S49" s="4"/>
      <c r="T49" s="4"/>
      <c r="U49" s="4"/>
      <c r="V49" s="4"/>
      <c r="W49" s="4">
        <v>1246.8499999999999</v>
      </c>
      <c r="X49" s="4">
        <v>1</v>
      </c>
      <c r="Y49" s="4">
        <v>1246.8499999999999</v>
      </c>
      <c r="Z49" s="4"/>
      <c r="AA49" s="4"/>
      <c r="AB49" s="4"/>
    </row>
    <row r="50" spans="1:28" x14ac:dyDescent="0.2">
      <c r="A50" s="4">
        <v>50</v>
      </c>
      <c r="B50" s="4">
        <v>0</v>
      </c>
      <c r="C50" s="4">
        <v>0</v>
      </c>
      <c r="D50" s="4">
        <v>1</v>
      </c>
      <c r="E50" s="4">
        <v>205</v>
      </c>
      <c r="F50" s="4">
        <f>ROUND(Source!S35,O50)</f>
        <v>9668.17</v>
      </c>
      <c r="G50" s="4" t="s">
        <v>95</v>
      </c>
      <c r="H50" s="4" t="s">
        <v>96</v>
      </c>
      <c r="I50" s="4"/>
      <c r="J50" s="4"/>
      <c r="K50" s="4">
        <v>205</v>
      </c>
      <c r="L50" s="4">
        <v>14</v>
      </c>
      <c r="M50" s="4">
        <v>3</v>
      </c>
      <c r="N50" s="4" t="s">
        <v>3</v>
      </c>
      <c r="O50" s="4">
        <v>2</v>
      </c>
      <c r="P50" s="4"/>
      <c r="Q50" s="4"/>
      <c r="R50" s="4"/>
      <c r="S50" s="4"/>
      <c r="T50" s="4"/>
      <c r="U50" s="4"/>
      <c r="V50" s="4"/>
      <c r="W50" s="4">
        <v>9668.17</v>
      </c>
      <c r="X50" s="4">
        <v>1</v>
      </c>
      <c r="Y50" s="4">
        <v>9668.17</v>
      </c>
      <c r="Z50" s="4"/>
      <c r="AA50" s="4"/>
      <c r="AB50" s="4"/>
    </row>
    <row r="51" spans="1:28" x14ac:dyDescent="0.2">
      <c r="A51" s="4">
        <v>50</v>
      </c>
      <c r="B51" s="4">
        <v>0</v>
      </c>
      <c r="C51" s="4">
        <v>0</v>
      </c>
      <c r="D51" s="4">
        <v>1</v>
      </c>
      <c r="E51" s="4">
        <v>232</v>
      </c>
      <c r="F51" s="4">
        <f>ROUND(Source!BC35,O51)</f>
        <v>0</v>
      </c>
      <c r="G51" s="4" t="s">
        <v>97</v>
      </c>
      <c r="H51" s="4" t="s">
        <v>98</v>
      </c>
      <c r="I51" s="4"/>
      <c r="J51" s="4"/>
      <c r="K51" s="4">
        <v>232</v>
      </c>
      <c r="L51" s="4">
        <v>15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>
        <v>0</v>
      </c>
      <c r="X51" s="4">
        <v>1</v>
      </c>
      <c r="Y51" s="4">
        <v>0</v>
      </c>
      <c r="Z51" s="4"/>
      <c r="AA51" s="4"/>
      <c r="AB51" s="4"/>
    </row>
    <row r="52" spans="1:28" x14ac:dyDescent="0.2">
      <c r="A52" s="4">
        <v>50</v>
      </c>
      <c r="B52" s="4">
        <v>0</v>
      </c>
      <c r="C52" s="4">
        <v>0</v>
      </c>
      <c r="D52" s="4">
        <v>1</v>
      </c>
      <c r="E52" s="4">
        <v>214</v>
      </c>
      <c r="F52" s="4">
        <f>ROUND(Source!AS35,O52)</f>
        <v>7785.35</v>
      </c>
      <c r="G52" s="4" t="s">
        <v>99</v>
      </c>
      <c r="H52" s="4" t="s">
        <v>100</v>
      </c>
      <c r="I52" s="4"/>
      <c r="J52" s="4"/>
      <c r="K52" s="4">
        <v>214</v>
      </c>
      <c r="L52" s="4">
        <v>16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>
        <v>7785.35</v>
      </c>
      <c r="X52" s="4">
        <v>1</v>
      </c>
      <c r="Y52" s="4">
        <v>7785.35</v>
      </c>
      <c r="Z52" s="4"/>
      <c r="AA52" s="4"/>
      <c r="AB52" s="4"/>
    </row>
    <row r="53" spans="1:28" x14ac:dyDescent="0.2">
      <c r="A53" s="4">
        <v>50</v>
      </c>
      <c r="B53" s="4">
        <v>0</v>
      </c>
      <c r="C53" s="4">
        <v>0</v>
      </c>
      <c r="D53" s="4">
        <v>1</v>
      </c>
      <c r="E53" s="4">
        <v>215</v>
      </c>
      <c r="F53" s="4">
        <f>ROUND(Source!AT35,O53)</f>
        <v>19314.599999999999</v>
      </c>
      <c r="G53" s="4" t="s">
        <v>101</v>
      </c>
      <c r="H53" s="4" t="s">
        <v>102</v>
      </c>
      <c r="I53" s="4"/>
      <c r="J53" s="4"/>
      <c r="K53" s="4">
        <v>215</v>
      </c>
      <c r="L53" s="4">
        <v>17</v>
      </c>
      <c r="M53" s="4">
        <v>3</v>
      </c>
      <c r="N53" s="4" t="s">
        <v>3</v>
      </c>
      <c r="O53" s="4">
        <v>2</v>
      </c>
      <c r="P53" s="4"/>
      <c r="Q53" s="4"/>
      <c r="R53" s="4"/>
      <c r="S53" s="4"/>
      <c r="T53" s="4"/>
      <c r="U53" s="4"/>
      <c r="V53" s="4"/>
      <c r="W53" s="4">
        <v>19314.599999999999</v>
      </c>
      <c r="X53" s="4">
        <v>1</v>
      </c>
      <c r="Y53" s="4">
        <v>19314.599999999999</v>
      </c>
      <c r="Z53" s="4"/>
      <c r="AA53" s="4"/>
      <c r="AB53" s="4"/>
    </row>
    <row r="54" spans="1:28" x14ac:dyDescent="0.2">
      <c r="A54" s="4">
        <v>50</v>
      </c>
      <c r="B54" s="4">
        <v>0</v>
      </c>
      <c r="C54" s="4">
        <v>0</v>
      </c>
      <c r="D54" s="4">
        <v>1</v>
      </c>
      <c r="E54" s="4">
        <v>217</v>
      </c>
      <c r="F54" s="4">
        <f>ROUND(Source!AU35,O54)</f>
        <v>2171.2199999999998</v>
      </c>
      <c r="G54" s="4" t="s">
        <v>103</v>
      </c>
      <c r="H54" s="4" t="s">
        <v>104</v>
      </c>
      <c r="I54" s="4"/>
      <c r="J54" s="4"/>
      <c r="K54" s="4">
        <v>217</v>
      </c>
      <c r="L54" s="4">
        <v>18</v>
      </c>
      <c r="M54" s="4">
        <v>3</v>
      </c>
      <c r="N54" s="4" t="s">
        <v>3</v>
      </c>
      <c r="O54" s="4">
        <v>2</v>
      </c>
      <c r="P54" s="4"/>
      <c r="Q54" s="4"/>
      <c r="R54" s="4"/>
      <c r="S54" s="4"/>
      <c r="T54" s="4"/>
      <c r="U54" s="4"/>
      <c r="V54" s="4"/>
      <c r="W54" s="4">
        <v>2171.2199999999998</v>
      </c>
      <c r="X54" s="4">
        <v>1</v>
      </c>
      <c r="Y54" s="4">
        <v>2171.2199999999998</v>
      </c>
      <c r="Z54" s="4"/>
      <c r="AA54" s="4"/>
      <c r="AB54" s="4"/>
    </row>
    <row r="55" spans="1:28" x14ac:dyDescent="0.2">
      <c r="A55" s="4">
        <v>50</v>
      </c>
      <c r="B55" s="4">
        <v>0</v>
      </c>
      <c r="C55" s="4">
        <v>0</v>
      </c>
      <c r="D55" s="4">
        <v>1</v>
      </c>
      <c r="E55" s="4">
        <v>230</v>
      </c>
      <c r="F55" s="4">
        <f>ROUND(Source!BA35,O55)</f>
        <v>0</v>
      </c>
      <c r="G55" s="4" t="s">
        <v>105</v>
      </c>
      <c r="H55" s="4" t="s">
        <v>106</v>
      </c>
      <c r="I55" s="4"/>
      <c r="J55" s="4"/>
      <c r="K55" s="4">
        <v>230</v>
      </c>
      <c r="L55" s="4">
        <v>19</v>
      </c>
      <c r="M55" s="4">
        <v>3</v>
      </c>
      <c r="N55" s="4" t="s">
        <v>3</v>
      </c>
      <c r="O55" s="4">
        <v>2</v>
      </c>
      <c r="P55" s="4"/>
      <c r="Q55" s="4"/>
      <c r="R55" s="4"/>
      <c r="S55" s="4"/>
      <c r="T55" s="4"/>
      <c r="U55" s="4"/>
      <c r="V55" s="4"/>
      <c r="W55" s="4">
        <v>0</v>
      </c>
      <c r="X55" s="4">
        <v>1</v>
      </c>
      <c r="Y55" s="4">
        <v>0</v>
      </c>
      <c r="Z55" s="4"/>
      <c r="AA55" s="4"/>
      <c r="AB55" s="4"/>
    </row>
    <row r="56" spans="1:28" x14ac:dyDescent="0.2">
      <c r="A56" s="4">
        <v>50</v>
      </c>
      <c r="B56" s="4">
        <v>0</v>
      </c>
      <c r="C56" s="4">
        <v>0</v>
      </c>
      <c r="D56" s="4">
        <v>1</v>
      </c>
      <c r="E56" s="4">
        <v>206</v>
      </c>
      <c r="F56" s="4">
        <f>ROUND(Source!T35,O56)</f>
        <v>0</v>
      </c>
      <c r="G56" s="4" t="s">
        <v>107</v>
      </c>
      <c r="H56" s="4" t="s">
        <v>108</v>
      </c>
      <c r="I56" s="4"/>
      <c r="J56" s="4"/>
      <c r="K56" s="4">
        <v>206</v>
      </c>
      <c r="L56" s="4">
        <v>20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>
        <v>0</v>
      </c>
      <c r="X56" s="4">
        <v>1</v>
      </c>
      <c r="Y56" s="4">
        <v>0</v>
      </c>
      <c r="Z56" s="4"/>
      <c r="AA56" s="4"/>
      <c r="AB56" s="4"/>
    </row>
    <row r="57" spans="1:28" x14ac:dyDescent="0.2">
      <c r="A57" s="4">
        <v>50</v>
      </c>
      <c r="B57" s="4">
        <v>0</v>
      </c>
      <c r="C57" s="4">
        <v>0</v>
      </c>
      <c r="D57" s="4">
        <v>1</v>
      </c>
      <c r="E57" s="4">
        <v>207</v>
      </c>
      <c r="F57" s="4">
        <f>Source!U35</f>
        <v>28.958516249999995</v>
      </c>
      <c r="G57" s="4" t="s">
        <v>109</v>
      </c>
      <c r="H57" s="4" t="s">
        <v>110</v>
      </c>
      <c r="I57" s="4"/>
      <c r="J57" s="4"/>
      <c r="K57" s="4">
        <v>207</v>
      </c>
      <c r="L57" s="4">
        <v>21</v>
      </c>
      <c r="M57" s="4">
        <v>3</v>
      </c>
      <c r="N57" s="4" t="s">
        <v>3</v>
      </c>
      <c r="O57" s="4">
        <v>-1</v>
      </c>
      <c r="P57" s="4"/>
      <c r="Q57" s="4"/>
      <c r="R57" s="4"/>
      <c r="S57" s="4"/>
      <c r="T57" s="4"/>
      <c r="U57" s="4"/>
      <c r="V57" s="4"/>
      <c r="W57" s="4">
        <v>28.958516250000002</v>
      </c>
      <c r="X57" s="4">
        <v>1</v>
      </c>
      <c r="Y57" s="4">
        <v>28.958516250000002</v>
      </c>
      <c r="Z57" s="4"/>
      <c r="AA57" s="4"/>
      <c r="AB57" s="4"/>
    </row>
    <row r="58" spans="1:28" x14ac:dyDescent="0.2">
      <c r="A58" s="4">
        <v>50</v>
      </c>
      <c r="B58" s="4">
        <v>0</v>
      </c>
      <c r="C58" s="4">
        <v>0</v>
      </c>
      <c r="D58" s="4">
        <v>1</v>
      </c>
      <c r="E58" s="4">
        <v>208</v>
      </c>
      <c r="F58" s="4">
        <f>Source!V35</f>
        <v>0</v>
      </c>
      <c r="G58" s="4" t="s">
        <v>111</v>
      </c>
      <c r="H58" s="4" t="s">
        <v>112</v>
      </c>
      <c r="I58" s="4"/>
      <c r="J58" s="4"/>
      <c r="K58" s="4">
        <v>208</v>
      </c>
      <c r="L58" s="4">
        <v>22</v>
      </c>
      <c r="M58" s="4">
        <v>3</v>
      </c>
      <c r="N58" s="4" t="s">
        <v>3</v>
      </c>
      <c r="O58" s="4">
        <v>-1</v>
      </c>
      <c r="P58" s="4"/>
      <c r="Q58" s="4"/>
      <c r="R58" s="4"/>
      <c r="S58" s="4"/>
      <c r="T58" s="4"/>
      <c r="U58" s="4"/>
      <c r="V58" s="4"/>
      <c r="W58" s="4">
        <v>0</v>
      </c>
      <c r="X58" s="4">
        <v>1</v>
      </c>
      <c r="Y58" s="4">
        <v>0</v>
      </c>
      <c r="Z58" s="4"/>
      <c r="AA58" s="4"/>
      <c r="AB58" s="4"/>
    </row>
    <row r="59" spans="1:28" x14ac:dyDescent="0.2">
      <c r="A59" s="4">
        <v>50</v>
      </c>
      <c r="B59" s="4">
        <v>0</v>
      </c>
      <c r="C59" s="4">
        <v>0</v>
      </c>
      <c r="D59" s="4">
        <v>1</v>
      </c>
      <c r="E59" s="4">
        <v>209</v>
      </c>
      <c r="F59" s="4">
        <f>ROUND(Source!W35,O59)</f>
        <v>0</v>
      </c>
      <c r="G59" s="4" t="s">
        <v>113</v>
      </c>
      <c r="H59" s="4" t="s">
        <v>114</v>
      </c>
      <c r="I59" s="4"/>
      <c r="J59" s="4"/>
      <c r="K59" s="4">
        <v>209</v>
      </c>
      <c r="L59" s="4">
        <v>23</v>
      </c>
      <c r="M59" s="4">
        <v>3</v>
      </c>
      <c r="N59" s="4" t="s">
        <v>3</v>
      </c>
      <c r="O59" s="4">
        <v>2</v>
      </c>
      <c r="P59" s="4"/>
      <c r="Q59" s="4"/>
      <c r="R59" s="4"/>
      <c r="S59" s="4"/>
      <c r="T59" s="4"/>
      <c r="U59" s="4"/>
      <c r="V59" s="4"/>
      <c r="W59" s="4">
        <v>0</v>
      </c>
      <c r="X59" s="4">
        <v>1</v>
      </c>
      <c r="Y59" s="4">
        <v>0</v>
      </c>
      <c r="Z59" s="4"/>
      <c r="AA59" s="4"/>
      <c r="AB59" s="4"/>
    </row>
    <row r="60" spans="1:28" x14ac:dyDescent="0.2">
      <c r="A60" s="4">
        <v>50</v>
      </c>
      <c r="B60" s="4">
        <v>0</v>
      </c>
      <c r="C60" s="4">
        <v>0</v>
      </c>
      <c r="D60" s="4">
        <v>1</v>
      </c>
      <c r="E60" s="4">
        <v>233</v>
      </c>
      <c r="F60" s="4">
        <f>ROUND(Source!BD35,O60)</f>
        <v>0</v>
      </c>
      <c r="G60" s="4" t="s">
        <v>115</v>
      </c>
      <c r="H60" s="4" t="s">
        <v>116</v>
      </c>
      <c r="I60" s="4"/>
      <c r="J60" s="4"/>
      <c r="K60" s="4">
        <v>233</v>
      </c>
      <c r="L60" s="4">
        <v>24</v>
      </c>
      <c r="M60" s="4">
        <v>3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>
        <v>0</v>
      </c>
      <c r="X60" s="4">
        <v>1</v>
      </c>
      <c r="Y60" s="4">
        <v>0</v>
      </c>
      <c r="Z60" s="4"/>
      <c r="AA60" s="4"/>
      <c r="AB60" s="4"/>
    </row>
    <row r="61" spans="1:28" x14ac:dyDescent="0.2">
      <c r="A61" s="4">
        <v>50</v>
      </c>
      <c r="B61" s="4">
        <v>0</v>
      </c>
      <c r="C61" s="4">
        <v>0</v>
      </c>
      <c r="D61" s="4">
        <v>1</v>
      </c>
      <c r="E61" s="4">
        <v>210</v>
      </c>
      <c r="F61" s="4">
        <f>ROUND(Source!X35,O61)</f>
        <v>8708.09</v>
      </c>
      <c r="G61" s="4" t="s">
        <v>117</v>
      </c>
      <c r="H61" s="4" t="s">
        <v>118</v>
      </c>
      <c r="I61" s="4"/>
      <c r="J61" s="4"/>
      <c r="K61" s="4">
        <v>210</v>
      </c>
      <c r="L61" s="4">
        <v>25</v>
      </c>
      <c r="M61" s="4">
        <v>3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>
        <v>8708.09</v>
      </c>
      <c r="X61" s="4">
        <v>1</v>
      </c>
      <c r="Y61" s="4">
        <v>8708.09</v>
      </c>
      <c r="Z61" s="4"/>
      <c r="AA61" s="4"/>
      <c r="AB61" s="4"/>
    </row>
    <row r="62" spans="1:28" x14ac:dyDescent="0.2">
      <c r="A62" s="4">
        <v>50</v>
      </c>
      <c r="B62" s="4">
        <v>0</v>
      </c>
      <c r="C62" s="4">
        <v>0</v>
      </c>
      <c r="D62" s="4">
        <v>1</v>
      </c>
      <c r="E62" s="4">
        <v>211</v>
      </c>
      <c r="F62" s="4">
        <f>ROUND(Source!Y35,O62)</f>
        <v>4192.57</v>
      </c>
      <c r="G62" s="4" t="s">
        <v>119</v>
      </c>
      <c r="H62" s="4" t="s">
        <v>120</v>
      </c>
      <c r="I62" s="4"/>
      <c r="J62" s="4"/>
      <c r="K62" s="4">
        <v>211</v>
      </c>
      <c r="L62" s="4">
        <v>26</v>
      </c>
      <c r="M62" s="4">
        <v>3</v>
      </c>
      <c r="N62" s="4" t="s">
        <v>3</v>
      </c>
      <c r="O62" s="4">
        <v>2</v>
      </c>
      <c r="P62" s="4"/>
      <c r="Q62" s="4"/>
      <c r="R62" s="4"/>
      <c r="S62" s="4"/>
      <c r="T62" s="4"/>
      <c r="U62" s="4"/>
      <c r="V62" s="4"/>
      <c r="W62" s="4">
        <v>4192.57</v>
      </c>
      <c r="X62" s="4">
        <v>1</v>
      </c>
      <c r="Y62" s="4">
        <v>4192.57</v>
      </c>
      <c r="Z62" s="4"/>
      <c r="AA62" s="4"/>
      <c r="AB62" s="4"/>
    </row>
    <row r="63" spans="1:28" x14ac:dyDescent="0.2">
      <c r="A63" s="4">
        <v>50</v>
      </c>
      <c r="B63" s="4">
        <v>0</v>
      </c>
      <c r="C63" s="4">
        <v>0</v>
      </c>
      <c r="D63" s="4">
        <v>1</v>
      </c>
      <c r="E63" s="4">
        <v>224</v>
      </c>
      <c r="F63" s="4">
        <f>ROUND(Source!AR35,O63)</f>
        <v>29271.17</v>
      </c>
      <c r="G63" s="4" t="s">
        <v>121</v>
      </c>
      <c r="H63" s="4" t="s">
        <v>122</v>
      </c>
      <c r="I63" s="4"/>
      <c r="J63" s="4"/>
      <c r="K63" s="4">
        <v>224</v>
      </c>
      <c r="L63" s="4">
        <v>27</v>
      </c>
      <c r="M63" s="4">
        <v>3</v>
      </c>
      <c r="N63" s="4" t="s">
        <v>3</v>
      </c>
      <c r="O63" s="4">
        <v>2</v>
      </c>
      <c r="P63" s="4"/>
      <c r="Q63" s="4"/>
      <c r="R63" s="4"/>
      <c r="S63" s="4"/>
      <c r="T63" s="4"/>
      <c r="U63" s="4"/>
      <c r="V63" s="4"/>
      <c r="W63" s="4">
        <v>29271.17</v>
      </c>
      <c r="X63" s="4">
        <v>1</v>
      </c>
      <c r="Y63" s="4">
        <v>29271.17</v>
      </c>
      <c r="Z63" s="4"/>
      <c r="AA63" s="4"/>
      <c r="AB63" s="4"/>
    </row>
    <row r="65" spans="1:245" x14ac:dyDescent="0.2">
      <c r="A65" s="1">
        <v>4</v>
      </c>
      <c r="B65" s="1">
        <v>1</v>
      </c>
      <c r="C65" s="1"/>
      <c r="D65" s="1">
        <f>ROW(A92)</f>
        <v>92</v>
      </c>
      <c r="E65" s="1"/>
      <c r="F65" s="1" t="s">
        <v>15</v>
      </c>
      <c r="G65" s="1" t="s">
        <v>123</v>
      </c>
      <c r="H65" s="1" t="s">
        <v>3</v>
      </c>
      <c r="I65" s="1">
        <v>0</v>
      </c>
      <c r="J65" s="1"/>
      <c r="K65" s="1">
        <v>-1</v>
      </c>
      <c r="L65" s="1"/>
      <c r="M65" s="1" t="s">
        <v>3</v>
      </c>
      <c r="N65" s="1"/>
      <c r="O65" s="1"/>
      <c r="P65" s="1"/>
      <c r="Q65" s="1"/>
      <c r="R65" s="1"/>
      <c r="S65" s="1">
        <v>0</v>
      </c>
      <c r="T65" s="1"/>
      <c r="U65" s="1" t="s">
        <v>3</v>
      </c>
      <c r="V65" s="1">
        <v>0</v>
      </c>
      <c r="W65" s="1"/>
      <c r="X65" s="1"/>
      <c r="Y65" s="1"/>
      <c r="Z65" s="1"/>
      <c r="AA65" s="1"/>
      <c r="AB65" s="1" t="s">
        <v>3</v>
      </c>
      <c r="AC65" s="1" t="s">
        <v>3</v>
      </c>
      <c r="AD65" s="1" t="s">
        <v>3</v>
      </c>
      <c r="AE65" s="1" t="s">
        <v>3</v>
      </c>
      <c r="AF65" s="1" t="s">
        <v>3</v>
      </c>
      <c r="AG65" s="1" t="s">
        <v>3</v>
      </c>
      <c r="AH65" s="1"/>
      <c r="AI65" s="1"/>
      <c r="AJ65" s="1"/>
      <c r="AK65" s="1"/>
      <c r="AL65" s="1"/>
      <c r="AM65" s="1"/>
      <c r="AN65" s="1"/>
      <c r="AO65" s="1"/>
      <c r="AP65" s="1" t="s">
        <v>3</v>
      </c>
      <c r="AQ65" s="1" t="s">
        <v>3</v>
      </c>
      <c r="AR65" s="1" t="s">
        <v>3</v>
      </c>
      <c r="AS65" s="1"/>
      <c r="AT65" s="1"/>
      <c r="AU65" s="1"/>
      <c r="AV65" s="1"/>
      <c r="AW65" s="1"/>
      <c r="AX65" s="1"/>
      <c r="AY65" s="1"/>
      <c r="AZ65" s="1" t="s">
        <v>3</v>
      </c>
      <c r="BA65" s="1"/>
      <c r="BB65" s="1" t="s">
        <v>3</v>
      </c>
      <c r="BC65" s="1" t="s">
        <v>3</v>
      </c>
      <c r="BD65" s="1" t="s">
        <v>3</v>
      </c>
      <c r="BE65" s="1" t="s">
        <v>3</v>
      </c>
      <c r="BF65" s="1" t="s">
        <v>3</v>
      </c>
      <c r="BG65" s="1" t="s">
        <v>3</v>
      </c>
      <c r="BH65" s="1" t="s">
        <v>3</v>
      </c>
      <c r="BI65" s="1" t="s">
        <v>3</v>
      </c>
      <c r="BJ65" s="1" t="s">
        <v>3</v>
      </c>
      <c r="BK65" s="1" t="s">
        <v>3</v>
      </c>
      <c r="BL65" s="1" t="s">
        <v>3</v>
      </c>
      <c r="BM65" s="1" t="s">
        <v>3</v>
      </c>
      <c r="BN65" s="1" t="s">
        <v>3</v>
      </c>
      <c r="BO65" s="1" t="s">
        <v>3</v>
      </c>
      <c r="BP65" s="1" t="s">
        <v>3</v>
      </c>
      <c r="BQ65" s="1"/>
      <c r="BR65" s="1"/>
      <c r="BS65" s="1"/>
      <c r="BT65" s="1"/>
      <c r="BU65" s="1"/>
      <c r="BV65" s="1"/>
      <c r="BW65" s="1"/>
      <c r="BX65" s="1">
        <v>0</v>
      </c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>
        <v>0</v>
      </c>
    </row>
    <row r="67" spans="1:245" x14ac:dyDescent="0.2">
      <c r="A67" s="2">
        <v>52</v>
      </c>
      <c r="B67" s="2">
        <f t="shared" ref="B67:G67" si="58">B92</f>
        <v>1</v>
      </c>
      <c r="C67" s="2">
        <f t="shared" si="58"/>
        <v>4</v>
      </c>
      <c r="D67" s="2">
        <f t="shared" si="58"/>
        <v>65</v>
      </c>
      <c r="E67" s="2">
        <f t="shared" si="58"/>
        <v>0</v>
      </c>
      <c r="F67" s="2" t="str">
        <f t="shared" si="58"/>
        <v>Новый раздел</v>
      </c>
      <c r="G67" s="2" t="str">
        <f t="shared" si="58"/>
        <v>Строительно-монтажные работы</v>
      </c>
      <c r="H67" s="2"/>
      <c r="I67" s="2"/>
      <c r="J67" s="2"/>
      <c r="K67" s="2"/>
      <c r="L67" s="2"/>
      <c r="M67" s="2"/>
      <c r="N67" s="2"/>
      <c r="O67" s="2">
        <f t="shared" ref="O67:AT67" si="59">O92</f>
        <v>96680.5</v>
      </c>
      <c r="P67" s="2">
        <f t="shared" si="59"/>
        <v>45409.93</v>
      </c>
      <c r="Q67" s="2">
        <f t="shared" si="59"/>
        <v>11468.14</v>
      </c>
      <c r="R67" s="2">
        <f t="shared" si="59"/>
        <v>5436.17</v>
      </c>
      <c r="S67" s="2">
        <f t="shared" si="59"/>
        <v>39802.43</v>
      </c>
      <c r="T67" s="2">
        <f t="shared" si="59"/>
        <v>0</v>
      </c>
      <c r="U67" s="2">
        <f t="shared" si="59"/>
        <v>113.63786346000001</v>
      </c>
      <c r="V67" s="2">
        <f t="shared" si="59"/>
        <v>0</v>
      </c>
      <c r="W67" s="2">
        <f t="shared" si="59"/>
        <v>0</v>
      </c>
      <c r="X67" s="2">
        <f t="shared" si="59"/>
        <v>37227.82</v>
      </c>
      <c r="Y67" s="2">
        <f t="shared" si="59"/>
        <v>17329.36</v>
      </c>
      <c r="Z67" s="2">
        <f t="shared" si="59"/>
        <v>0</v>
      </c>
      <c r="AA67" s="2">
        <f t="shared" si="59"/>
        <v>0</v>
      </c>
      <c r="AB67" s="2">
        <f t="shared" si="59"/>
        <v>96680.5</v>
      </c>
      <c r="AC67" s="2">
        <f t="shared" si="59"/>
        <v>45409.93</v>
      </c>
      <c r="AD67" s="2">
        <f t="shared" si="59"/>
        <v>11468.14</v>
      </c>
      <c r="AE67" s="2">
        <f t="shared" si="59"/>
        <v>5436.17</v>
      </c>
      <c r="AF67" s="2">
        <f t="shared" si="59"/>
        <v>39802.43</v>
      </c>
      <c r="AG67" s="2">
        <f t="shared" si="59"/>
        <v>0</v>
      </c>
      <c r="AH67" s="2">
        <f t="shared" si="59"/>
        <v>113.63786346000001</v>
      </c>
      <c r="AI67" s="2">
        <f t="shared" si="59"/>
        <v>0</v>
      </c>
      <c r="AJ67" s="2">
        <f t="shared" si="59"/>
        <v>0</v>
      </c>
      <c r="AK67" s="2">
        <f t="shared" si="59"/>
        <v>37227.82</v>
      </c>
      <c r="AL67" s="2">
        <f t="shared" si="59"/>
        <v>17329.36</v>
      </c>
      <c r="AM67" s="2">
        <f t="shared" si="59"/>
        <v>0</v>
      </c>
      <c r="AN67" s="2">
        <f t="shared" si="59"/>
        <v>0</v>
      </c>
      <c r="AO67" s="2">
        <f t="shared" si="59"/>
        <v>0</v>
      </c>
      <c r="AP67" s="2">
        <f t="shared" si="59"/>
        <v>0</v>
      </c>
      <c r="AQ67" s="2">
        <f t="shared" si="59"/>
        <v>0</v>
      </c>
      <c r="AR67" s="2">
        <f t="shared" si="59"/>
        <v>159935.54999999999</v>
      </c>
      <c r="AS67" s="2">
        <f t="shared" si="59"/>
        <v>65170.26</v>
      </c>
      <c r="AT67" s="2">
        <f t="shared" si="59"/>
        <v>94765.29</v>
      </c>
      <c r="AU67" s="2">
        <f t="shared" ref="AU67:BZ67" si="60">AU92</f>
        <v>0</v>
      </c>
      <c r="AV67" s="2">
        <f t="shared" si="60"/>
        <v>45409.93</v>
      </c>
      <c r="AW67" s="2">
        <f t="shared" si="60"/>
        <v>45409.93</v>
      </c>
      <c r="AX67" s="2">
        <f t="shared" si="60"/>
        <v>0</v>
      </c>
      <c r="AY67" s="2">
        <f t="shared" si="60"/>
        <v>45409.93</v>
      </c>
      <c r="AZ67" s="2">
        <f t="shared" si="60"/>
        <v>0</v>
      </c>
      <c r="BA67" s="2">
        <f t="shared" si="60"/>
        <v>0</v>
      </c>
      <c r="BB67" s="2">
        <f t="shared" si="60"/>
        <v>0</v>
      </c>
      <c r="BC67" s="2">
        <f t="shared" si="60"/>
        <v>0</v>
      </c>
      <c r="BD67" s="2">
        <f t="shared" si="60"/>
        <v>0</v>
      </c>
      <c r="BE67" s="2">
        <f t="shared" si="60"/>
        <v>0</v>
      </c>
      <c r="BF67" s="2">
        <f t="shared" si="60"/>
        <v>0</v>
      </c>
      <c r="BG67" s="2">
        <f t="shared" si="60"/>
        <v>0</v>
      </c>
      <c r="BH67" s="2">
        <f t="shared" si="60"/>
        <v>0</v>
      </c>
      <c r="BI67" s="2">
        <f t="shared" si="60"/>
        <v>0</v>
      </c>
      <c r="BJ67" s="2">
        <f t="shared" si="60"/>
        <v>0</v>
      </c>
      <c r="BK67" s="2">
        <f t="shared" si="60"/>
        <v>0</v>
      </c>
      <c r="BL67" s="2">
        <f t="shared" si="60"/>
        <v>0</v>
      </c>
      <c r="BM67" s="2">
        <f t="shared" si="60"/>
        <v>0</v>
      </c>
      <c r="BN67" s="2">
        <f t="shared" si="60"/>
        <v>0</v>
      </c>
      <c r="BO67" s="2">
        <f t="shared" si="60"/>
        <v>0</v>
      </c>
      <c r="BP67" s="2">
        <f t="shared" si="60"/>
        <v>0</v>
      </c>
      <c r="BQ67" s="2">
        <f t="shared" si="60"/>
        <v>0</v>
      </c>
      <c r="BR67" s="2">
        <f t="shared" si="60"/>
        <v>0</v>
      </c>
      <c r="BS67" s="2">
        <f t="shared" si="60"/>
        <v>0</v>
      </c>
      <c r="BT67" s="2">
        <f t="shared" si="60"/>
        <v>0</v>
      </c>
      <c r="BU67" s="2">
        <f t="shared" si="60"/>
        <v>0</v>
      </c>
      <c r="BV67" s="2">
        <f t="shared" si="60"/>
        <v>0</v>
      </c>
      <c r="BW67" s="2">
        <f t="shared" si="60"/>
        <v>0</v>
      </c>
      <c r="BX67" s="2">
        <f t="shared" si="60"/>
        <v>0</v>
      </c>
      <c r="BY67" s="2">
        <f t="shared" si="60"/>
        <v>0</v>
      </c>
      <c r="BZ67" s="2">
        <f t="shared" si="60"/>
        <v>0</v>
      </c>
      <c r="CA67" s="2">
        <f t="shared" ref="CA67:DF67" si="61">CA92</f>
        <v>159935.54999999999</v>
      </c>
      <c r="CB67" s="2">
        <f t="shared" si="61"/>
        <v>65170.26</v>
      </c>
      <c r="CC67" s="2">
        <f t="shared" si="61"/>
        <v>94765.29</v>
      </c>
      <c r="CD67" s="2">
        <f t="shared" si="61"/>
        <v>0</v>
      </c>
      <c r="CE67" s="2">
        <f t="shared" si="61"/>
        <v>45409.93</v>
      </c>
      <c r="CF67" s="2">
        <f t="shared" si="61"/>
        <v>45409.93</v>
      </c>
      <c r="CG67" s="2">
        <f t="shared" si="61"/>
        <v>0</v>
      </c>
      <c r="CH67" s="2">
        <f t="shared" si="61"/>
        <v>45409.93</v>
      </c>
      <c r="CI67" s="2">
        <f t="shared" si="61"/>
        <v>0</v>
      </c>
      <c r="CJ67" s="2">
        <f t="shared" si="61"/>
        <v>0</v>
      </c>
      <c r="CK67" s="2">
        <f t="shared" si="61"/>
        <v>0</v>
      </c>
      <c r="CL67" s="2">
        <f t="shared" si="61"/>
        <v>0</v>
      </c>
      <c r="CM67" s="2">
        <f t="shared" si="61"/>
        <v>0</v>
      </c>
      <c r="CN67" s="2">
        <f t="shared" si="61"/>
        <v>0</v>
      </c>
      <c r="CO67" s="2">
        <f t="shared" si="61"/>
        <v>0</v>
      </c>
      <c r="CP67" s="2">
        <f t="shared" si="61"/>
        <v>0</v>
      </c>
      <c r="CQ67" s="2">
        <f t="shared" si="61"/>
        <v>0</v>
      </c>
      <c r="CR67" s="2">
        <f t="shared" si="61"/>
        <v>0</v>
      </c>
      <c r="CS67" s="2">
        <f t="shared" si="61"/>
        <v>0</v>
      </c>
      <c r="CT67" s="2">
        <f t="shared" si="61"/>
        <v>0</v>
      </c>
      <c r="CU67" s="2">
        <f t="shared" si="61"/>
        <v>0</v>
      </c>
      <c r="CV67" s="2">
        <f t="shared" si="61"/>
        <v>0</v>
      </c>
      <c r="CW67" s="2">
        <f t="shared" si="61"/>
        <v>0</v>
      </c>
      <c r="CX67" s="2">
        <f t="shared" si="61"/>
        <v>0</v>
      </c>
      <c r="CY67" s="2">
        <f t="shared" si="61"/>
        <v>0</v>
      </c>
      <c r="CZ67" s="2">
        <f t="shared" si="61"/>
        <v>0</v>
      </c>
      <c r="DA67" s="2">
        <f t="shared" si="61"/>
        <v>0</v>
      </c>
      <c r="DB67" s="2">
        <f t="shared" si="61"/>
        <v>0</v>
      </c>
      <c r="DC67" s="2">
        <f t="shared" si="61"/>
        <v>0</v>
      </c>
      <c r="DD67" s="2">
        <f t="shared" si="61"/>
        <v>0</v>
      </c>
      <c r="DE67" s="2">
        <f t="shared" si="61"/>
        <v>0</v>
      </c>
      <c r="DF67" s="2">
        <f t="shared" si="61"/>
        <v>0</v>
      </c>
      <c r="DG67" s="3">
        <f t="shared" ref="DG67:EL67" si="62">DG92</f>
        <v>0</v>
      </c>
      <c r="DH67" s="3">
        <f t="shared" si="62"/>
        <v>0</v>
      </c>
      <c r="DI67" s="3">
        <f t="shared" si="62"/>
        <v>0</v>
      </c>
      <c r="DJ67" s="3">
        <f t="shared" si="62"/>
        <v>0</v>
      </c>
      <c r="DK67" s="3">
        <f t="shared" si="62"/>
        <v>0</v>
      </c>
      <c r="DL67" s="3">
        <f t="shared" si="62"/>
        <v>0</v>
      </c>
      <c r="DM67" s="3">
        <f t="shared" si="62"/>
        <v>0</v>
      </c>
      <c r="DN67" s="3">
        <f t="shared" si="62"/>
        <v>0</v>
      </c>
      <c r="DO67" s="3">
        <f t="shared" si="62"/>
        <v>0</v>
      </c>
      <c r="DP67" s="3">
        <f t="shared" si="62"/>
        <v>0</v>
      </c>
      <c r="DQ67" s="3">
        <f t="shared" si="62"/>
        <v>0</v>
      </c>
      <c r="DR67" s="3">
        <f t="shared" si="62"/>
        <v>0</v>
      </c>
      <c r="DS67" s="3">
        <f t="shared" si="62"/>
        <v>0</v>
      </c>
      <c r="DT67" s="3">
        <f t="shared" si="62"/>
        <v>0</v>
      </c>
      <c r="DU67" s="3">
        <f t="shared" si="62"/>
        <v>0</v>
      </c>
      <c r="DV67" s="3">
        <f t="shared" si="62"/>
        <v>0</v>
      </c>
      <c r="DW67" s="3">
        <f t="shared" si="62"/>
        <v>0</v>
      </c>
      <c r="DX67" s="3">
        <f t="shared" si="62"/>
        <v>0</v>
      </c>
      <c r="DY67" s="3">
        <f t="shared" si="62"/>
        <v>0</v>
      </c>
      <c r="DZ67" s="3">
        <f t="shared" si="62"/>
        <v>0</v>
      </c>
      <c r="EA67" s="3">
        <f t="shared" si="62"/>
        <v>0</v>
      </c>
      <c r="EB67" s="3">
        <f t="shared" si="62"/>
        <v>0</v>
      </c>
      <c r="EC67" s="3">
        <f t="shared" si="62"/>
        <v>0</v>
      </c>
      <c r="ED67" s="3">
        <f t="shared" si="62"/>
        <v>0</v>
      </c>
      <c r="EE67" s="3">
        <f t="shared" si="62"/>
        <v>0</v>
      </c>
      <c r="EF67" s="3">
        <f t="shared" si="62"/>
        <v>0</v>
      </c>
      <c r="EG67" s="3">
        <f t="shared" si="62"/>
        <v>0</v>
      </c>
      <c r="EH67" s="3">
        <f t="shared" si="62"/>
        <v>0</v>
      </c>
      <c r="EI67" s="3">
        <f t="shared" si="62"/>
        <v>0</v>
      </c>
      <c r="EJ67" s="3">
        <f t="shared" si="62"/>
        <v>0</v>
      </c>
      <c r="EK67" s="3">
        <f t="shared" si="62"/>
        <v>0</v>
      </c>
      <c r="EL67" s="3">
        <f t="shared" si="62"/>
        <v>0</v>
      </c>
      <c r="EM67" s="3">
        <f t="shared" ref="EM67:FR67" si="63">EM92</f>
        <v>0</v>
      </c>
      <c r="EN67" s="3">
        <f t="shared" si="63"/>
        <v>0</v>
      </c>
      <c r="EO67" s="3">
        <f t="shared" si="63"/>
        <v>0</v>
      </c>
      <c r="EP67" s="3">
        <f t="shared" si="63"/>
        <v>0</v>
      </c>
      <c r="EQ67" s="3">
        <f t="shared" si="63"/>
        <v>0</v>
      </c>
      <c r="ER67" s="3">
        <f t="shared" si="63"/>
        <v>0</v>
      </c>
      <c r="ES67" s="3">
        <f t="shared" si="63"/>
        <v>0</v>
      </c>
      <c r="ET67" s="3">
        <f t="shared" si="63"/>
        <v>0</v>
      </c>
      <c r="EU67" s="3">
        <f t="shared" si="63"/>
        <v>0</v>
      </c>
      <c r="EV67" s="3">
        <f t="shared" si="63"/>
        <v>0</v>
      </c>
      <c r="EW67" s="3">
        <f t="shared" si="63"/>
        <v>0</v>
      </c>
      <c r="EX67" s="3">
        <f t="shared" si="63"/>
        <v>0</v>
      </c>
      <c r="EY67" s="3">
        <f t="shared" si="63"/>
        <v>0</v>
      </c>
      <c r="EZ67" s="3">
        <f t="shared" si="63"/>
        <v>0</v>
      </c>
      <c r="FA67" s="3">
        <f t="shared" si="63"/>
        <v>0</v>
      </c>
      <c r="FB67" s="3">
        <f t="shared" si="63"/>
        <v>0</v>
      </c>
      <c r="FC67" s="3">
        <f t="shared" si="63"/>
        <v>0</v>
      </c>
      <c r="FD67" s="3">
        <f t="shared" si="63"/>
        <v>0</v>
      </c>
      <c r="FE67" s="3">
        <f t="shared" si="63"/>
        <v>0</v>
      </c>
      <c r="FF67" s="3">
        <f t="shared" si="63"/>
        <v>0</v>
      </c>
      <c r="FG67" s="3">
        <f t="shared" si="63"/>
        <v>0</v>
      </c>
      <c r="FH67" s="3">
        <f t="shared" si="63"/>
        <v>0</v>
      </c>
      <c r="FI67" s="3">
        <f t="shared" si="63"/>
        <v>0</v>
      </c>
      <c r="FJ67" s="3">
        <f t="shared" si="63"/>
        <v>0</v>
      </c>
      <c r="FK67" s="3">
        <f t="shared" si="63"/>
        <v>0</v>
      </c>
      <c r="FL67" s="3">
        <f t="shared" si="63"/>
        <v>0</v>
      </c>
      <c r="FM67" s="3">
        <f t="shared" si="63"/>
        <v>0</v>
      </c>
      <c r="FN67" s="3">
        <f t="shared" si="63"/>
        <v>0</v>
      </c>
      <c r="FO67" s="3">
        <f t="shared" si="63"/>
        <v>0</v>
      </c>
      <c r="FP67" s="3">
        <f t="shared" si="63"/>
        <v>0</v>
      </c>
      <c r="FQ67" s="3">
        <f t="shared" si="63"/>
        <v>0</v>
      </c>
      <c r="FR67" s="3">
        <f t="shared" si="63"/>
        <v>0</v>
      </c>
      <c r="FS67" s="3">
        <f t="shared" ref="FS67:GX67" si="64">FS92</f>
        <v>0</v>
      </c>
      <c r="FT67" s="3">
        <f t="shared" si="64"/>
        <v>0</v>
      </c>
      <c r="FU67" s="3">
        <f t="shared" si="64"/>
        <v>0</v>
      </c>
      <c r="FV67" s="3">
        <f t="shared" si="64"/>
        <v>0</v>
      </c>
      <c r="FW67" s="3">
        <f t="shared" si="64"/>
        <v>0</v>
      </c>
      <c r="FX67" s="3">
        <f t="shared" si="64"/>
        <v>0</v>
      </c>
      <c r="FY67" s="3">
        <f t="shared" si="64"/>
        <v>0</v>
      </c>
      <c r="FZ67" s="3">
        <f t="shared" si="64"/>
        <v>0</v>
      </c>
      <c r="GA67" s="3">
        <f t="shared" si="64"/>
        <v>0</v>
      </c>
      <c r="GB67" s="3">
        <f t="shared" si="64"/>
        <v>0</v>
      </c>
      <c r="GC67" s="3">
        <f t="shared" si="64"/>
        <v>0</v>
      </c>
      <c r="GD67" s="3">
        <f t="shared" si="64"/>
        <v>0</v>
      </c>
      <c r="GE67" s="3">
        <f t="shared" si="64"/>
        <v>0</v>
      </c>
      <c r="GF67" s="3">
        <f t="shared" si="64"/>
        <v>0</v>
      </c>
      <c r="GG67" s="3">
        <f t="shared" si="64"/>
        <v>0</v>
      </c>
      <c r="GH67" s="3">
        <f t="shared" si="64"/>
        <v>0</v>
      </c>
      <c r="GI67" s="3">
        <f t="shared" si="64"/>
        <v>0</v>
      </c>
      <c r="GJ67" s="3">
        <f t="shared" si="64"/>
        <v>0</v>
      </c>
      <c r="GK67" s="3">
        <f t="shared" si="64"/>
        <v>0</v>
      </c>
      <c r="GL67" s="3">
        <f t="shared" si="64"/>
        <v>0</v>
      </c>
      <c r="GM67" s="3">
        <f t="shared" si="64"/>
        <v>0</v>
      </c>
      <c r="GN67" s="3">
        <f t="shared" si="64"/>
        <v>0</v>
      </c>
      <c r="GO67" s="3">
        <f t="shared" si="64"/>
        <v>0</v>
      </c>
      <c r="GP67" s="3">
        <f t="shared" si="64"/>
        <v>0</v>
      </c>
      <c r="GQ67" s="3">
        <f t="shared" si="64"/>
        <v>0</v>
      </c>
      <c r="GR67" s="3">
        <f t="shared" si="64"/>
        <v>0</v>
      </c>
      <c r="GS67" s="3">
        <f t="shared" si="64"/>
        <v>0</v>
      </c>
      <c r="GT67" s="3">
        <f t="shared" si="64"/>
        <v>0</v>
      </c>
      <c r="GU67" s="3">
        <f t="shared" si="64"/>
        <v>0</v>
      </c>
      <c r="GV67" s="3">
        <f t="shared" si="64"/>
        <v>0</v>
      </c>
      <c r="GW67" s="3">
        <f t="shared" si="64"/>
        <v>0</v>
      </c>
      <c r="GX67" s="3">
        <f t="shared" si="64"/>
        <v>0</v>
      </c>
    </row>
    <row r="69" spans="1:245" x14ac:dyDescent="0.2">
      <c r="A69">
        <v>19</v>
      </c>
      <c r="B69">
        <v>1</v>
      </c>
      <c r="F69" t="s">
        <v>3</v>
      </c>
      <c r="G69" t="s">
        <v>124</v>
      </c>
      <c r="H69" t="s">
        <v>3</v>
      </c>
      <c r="AA69">
        <v>1</v>
      </c>
      <c r="IK69">
        <v>0</v>
      </c>
    </row>
    <row r="70" spans="1:245" x14ac:dyDescent="0.2">
      <c r="A70">
        <v>17</v>
      </c>
      <c r="B70">
        <v>1</v>
      </c>
      <c r="C70">
        <f>ROW(SmtRes!A21)</f>
        <v>21</v>
      </c>
      <c r="D70">
        <f>ROW(EtalonRes!A20)</f>
        <v>20</v>
      </c>
      <c r="E70" t="s">
        <v>125</v>
      </c>
      <c r="F70" t="s">
        <v>126</v>
      </c>
      <c r="G70" t="s">
        <v>127</v>
      </c>
      <c r="H70" t="s">
        <v>128</v>
      </c>
      <c r="I70">
        <v>1.7</v>
      </c>
      <c r="J70">
        <v>0</v>
      </c>
      <c r="K70">
        <v>1.7</v>
      </c>
      <c r="O70">
        <f t="shared" ref="O70:O78" si="65">ROUND(CP70,2)</f>
        <v>774.68</v>
      </c>
      <c r="P70">
        <f t="shared" ref="P70:P78" si="66">ROUND(CQ70*I70,2)</f>
        <v>10.86</v>
      </c>
      <c r="Q70">
        <f t="shared" ref="Q70:Q78" si="67">ROUND(CR70*I70,2)</f>
        <v>349.46</v>
      </c>
      <c r="R70">
        <f t="shared" ref="R70:R78" si="68">ROUND(CS70*I70,2)</f>
        <v>169.42</v>
      </c>
      <c r="S70">
        <f t="shared" ref="S70:S78" si="69">ROUND(CT70*I70,2)</f>
        <v>414.36</v>
      </c>
      <c r="T70">
        <f t="shared" ref="T70:T78" si="70">ROUND(CU70*I70,2)</f>
        <v>0</v>
      </c>
      <c r="U70">
        <f t="shared" ref="U70:U78" si="71">CV70*I70</f>
        <v>1.3883219999999998</v>
      </c>
      <c r="V70">
        <f t="shared" ref="V70:V78" si="72">CW70*I70</f>
        <v>0</v>
      </c>
      <c r="W70">
        <f t="shared" ref="W70:W78" si="73">ROUND(CX70*I70,2)</f>
        <v>0</v>
      </c>
      <c r="X70">
        <f t="shared" ref="X70:X78" si="74">ROUND(CY70,2)</f>
        <v>360.49</v>
      </c>
      <c r="Y70">
        <f t="shared" ref="Y70:Y78" si="75">ROUND(CZ70,2)</f>
        <v>169.89</v>
      </c>
      <c r="AA70">
        <v>59267179</v>
      </c>
      <c r="AB70">
        <f t="shared" ref="AB70:AB78" si="76">ROUND((AC70+AD70+AF70),6)</f>
        <v>24.4</v>
      </c>
      <c r="AC70">
        <f t="shared" ref="AC70:AC78" si="77">ROUND((ES70),6)</f>
        <v>1.06</v>
      </c>
      <c r="AD70">
        <f t="shared" ref="AD70:AD78" si="78">ROUND((ET70),6)</f>
        <v>15.22</v>
      </c>
      <c r="AE70">
        <f t="shared" ref="AE70:AE78" si="79">ROUND((EU70),6)</f>
        <v>3.32</v>
      </c>
      <c r="AF70">
        <f t="shared" ref="AF70:AF78" si="80">ROUND((EV70),6)</f>
        <v>8.1199999999999992</v>
      </c>
      <c r="AG70">
        <f t="shared" ref="AG70:AG78" si="81">ROUND((AP70),6)</f>
        <v>0</v>
      </c>
      <c r="AH70">
        <f t="shared" ref="AH70:AH78" si="82">(EW70)</f>
        <v>0.78</v>
      </c>
      <c r="AI70">
        <f t="shared" ref="AI70:AI78" si="83">(EX70)</f>
        <v>0</v>
      </c>
      <c r="AJ70">
        <f t="shared" ref="AJ70:AJ78" si="84">(AS70)</f>
        <v>0</v>
      </c>
      <c r="AK70">
        <v>24.4</v>
      </c>
      <c r="AL70">
        <v>1.06</v>
      </c>
      <c r="AM70">
        <v>15.22</v>
      </c>
      <c r="AN70">
        <v>3.32</v>
      </c>
      <c r="AO70">
        <v>8.1199999999999992</v>
      </c>
      <c r="AP70">
        <v>0</v>
      </c>
      <c r="AQ70">
        <v>0.78</v>
      </c>
      <c r="AR70">
        <v>0</v>
      </c>
      <c r="AS70">
        <v>0</v>
      </c>
      <c r="AT70">
        <v>87</v>
      </c>
      <c r="AU70">
        <v>41</v>
      </c>
      <c r="AV70">
        <v>1.0469999999999999</v>
      </c>
      <c r="AW70">
        <v>1.0029999999999999</v>
      </c>
      <c r="AZ70">
        <v>1</v>
      </c>
      <c r="BA70">
        <v>28.67</v>
      </c>
      <c r="BB70">
        <v>12.9</v>
      </c>
      <c r="BC70">
        <v>6.01</v>
      </c>
      <c r="BD70" t="s">
        <v>3</v>
      </c>
      <c r="BE70" t="s">
        <v>3</v>
      </c>
      <c r="BF70" t="s">
        <v>3</v>
      </c>
      <c r="BG70" t="s">
        <v>3</v>
      </c>
      <c r="BH70">
        <v>0</v>
      </c>
      <c r="BI70">
        <v>1</v>
      </c>
      <c r="BJ70" t="s">
        <v>129</v>
      </c>
      <c r="BM70">
        <v>64</v>
      </c>
      <c r="BN70">
        <v>0</v>
      </c>
      <c r="BO70" t="s">
        <v>126</v>
      </c>
      <c r="BP70">
        <v>1</v>
      </c>
      <c r="BQ70">
        <v>30</v>
      </c>
      <c r="BR70">
        <v>0</v>
      </c>
      <c r="BS70">
        <v>28.67</v>
      </c>
      <c r="BT70">
        <v>1</v>
      </c>
      <c r="BU70">
        <v>1</v>
      </c>
      <c r="BV70">
        <v>1</v>
      </c>
      <c r="BW70">
        <v>1</v>
      </c>
      <c r="BX70">
        <v>1</v>
      </c>
      <c r="BY70" t="s">
        <v>3</v>
      </c>
      <c r="BZ70">
        <v>87</v>
      </c>
      <c r="CA70">
        <v>41</v>
      </c>
      <c r="CB70" t="s">
        <v>3</v>
      </c>
      <c r="CE70">
        <v>0</v>
      </c>
      <c r="CF70">
        <v>0</v>
      </c>
      <c r="CG70">
        <v>0</v>
      </c>
      <c r="CM70">
        <v>0</v>
      </c>
      <c r="CN70" t="s">
        <v>3</v>
      </c>
      <c r="CO70">
        <v>0</v>
      </c>
      <c r="CP70">
        <f t="shared" ref="CP70:CP78" si="85">(P70+Q70+S70)</f>
        <v>774.68000000000006</v>
      </c>
      <c r="CQ70">
        <f t="shared" ref="CQ70:CQ78" si="86">(AC70*BC70*AW70)</f>
        <v>6.3897117999999997</v>
      </c>
      <c r="CR70">
        <f t="shared" ref="CR70:CR78" si="87">(AD70*BB70*AV70)</f>
        <v>205.56588600000001</v>
      </c>
      <c r="CS70">
        <f t="shared" ref="CS70:CS78" si="88">(AE70*BS70*AV70)</f>
        <v>99.658066799999986</v>
      </c>
      <c r="CT70">
        <f t="shared" ref="CT70:CT78" si="89">(AF70*BA70*AV70)</f>
        <v>243.74201879999998</v>
      </c>
      <c r="CU70">
        <f t="shared" ref="CU70:CU78" si="90">AG70</f>
        <v>0</v>
      </c>
      <c r="CV70">
        <f t="shared" ref="CV70:CV78" si="91">(AH70*AV70)</f>
        <v>0.81665999999999994</v>
      </c>
      <c r="CW70">
        <f t="shared" ref="CW70:CW78" si="92">AI70</f>
        <v>0</v>
      </c>
      <c r="CX70">
        <f t="shared" ref="CX70:CX78" si="93">AJ70</f>
        <v>0</v>
      </c>
      <c r="CY70">
        <f t="shared" ref="CY70:CY78" si="94">S70*(BZ70/100)</f>
        <v>360.4932</v>
      </c>
      <c r="CZ70">
        <f t="shared" ref="CZ70:CZ78" si="95">S70*(CA70/100)</f>
        <v>169.88759999999999</v>
      </c>
      <c r="DC70" t="s">
        <v>3</v>
      </c>
      <c r="DD70" t="s">
        <v>3</v>
      </c>
      <c r="DE70" t="s">
        <v>3</v>
      </c>
      <c r="DF70" t="s">
        <v>3</v>
      </c>
      <c r="DG70" t="s">
        <v>3</v>
      </c>
      <c r="DH70" t="s">
        <v>3</v>
      </c>
      <c r="DI70" t="s">
        <v>3</v>
      </c>
      <c r="DJ70" t="s">
        <v>3</v>
      </c>
      <c r="DK70" t="s">
        <v>3</v>
      </c>
      <c r="DL70" t="s">
        <v>3</v>
      </c>
      <c r="DM70" t="s">
        <v>3</v>
      </c>
      <c r="DN70">
        <v>105</v>
      </c>
      <c r="DO70">
        <v>77</v>
      </c>
      <c r="DP70">
        <v>1.0469999999999999</v>
      </c>
      <c r="DQ70">
        <v>1.0029999999999999</v>
      </c>
      <c r="DU70">
        <v>1013</v>
      </c>
      <c r="DV70" t="s">
        <v>128</v>
      </c>
      <c r="DW70" t="s">
        <v>128</v>
      </c>
      <c r="DX70">
        <v>1</v>
      </c>
      <c r="DZ70" t="s">
        <v>3</v>
      </c>
      <c r="EA70" t="s">
        <v>3</v>
      </c>
      <c r="EB70" t="s">
        <v>3</v>
      </c>
      <c r="EC70" t="s">
        <v>3</v>
      </c>
      <c r="EE70">
        <v>42063668</v>
      </c>
      <c r="EF70">
        <v>30</v>
      </c>
      <c r="EG70" t="s">
        <v>25</v>
      </c>
      <c r="EH70">
        <v>0</v>
      </c>
      <c r="EI70" t="s">
        <v>3</v>
      </c>
      <c r="EJ70">
        <v>1</v>
      </c>
      <c r="EK70">
        <v>64</v>
      </c>
      <c r="EL70" t="s">
        <v>130</v>
      </c>
      <c r="EM70" t="s">
        <v>131</v>
      </c>
      <c r="EO70" t="s">
        <v>3</v>
      </c>
      <c r="EQ70">
        <v>0</v>
      </c>
      <c r="ER70">
        <v>24.4</v>
      </c>
      <c r="ES70">
        <v>1.06</v>
      </c>
      <c r="ET70">
        <v>15.22</v>
      </c>
      <c r="EU70">
        <v>3.32</v>
      </c>
      <c r="EV70">
        <v>8.1199999999999992</v>
      </c>
      <c r="EW70">
        <v>0.78</v>
      </c>
      <c r="EX70">
        <v>0</v>
      </c>
      <c r="EY70">
        <v>0</v>
      </c>
      <c r="FQ70">
        <v>0</v>
      </c>
      <c r="FR70">
        <f t="shared" ref="FR70:FR78" si="96">ROUND(IF(AND(BH70=3,BI70=3),P70,0),2)</f>
        <v>0</v>
      </c>
      <c r="FS70">
        <v>0</v>
      </c>
      <c r="FX70">
        <v>105</v>
      </c>
      <c r="FY70">
        <v>77</v>
      </c>
      <c r="GA70" t="s">
        <v>3</v>
      </c>
      <c r="GD70">
        <v>0</v>
      </c>
      <c r="GF70">
        <v>-734735170</v>
      </c>
      <c r="GG70">
        <v>2</v>
      </c>
      <c r="GH70">
        <v>1</v>
      </c>
      <c r="GI70">
        <v>2</v>
      </c>
      <c r="GJ70">
        <v>0</v>
      </c>
      <c r="GK70">
        <f>ROUND(R70*(R12)/100,2)</f>
        <v>271.07</v>
      </c>
      <c r="GL70">
        <f t="shared" ref="GL70:GL78" si="97">ROUND(IF(AND(BH70=3,BI70=3,FS70&lt;&gt;0),P70,0),2)</f>
        <v>0</v>
      </c>
      <c r="GM70">
        <f t="shared" ref="GM70:GM78" si="98">ROUND(O70+X70+Y70+GK70,2)+GX70</f>
        <v>1576.13</v>
      </c>
      <c r="GN70">
        <f t="shared" ref="GN70:GN78" si="99">IF(OR(BI70=0,BI70=1),ROUND(O70+X70+Y70+GK70,2),0)</f>
        <v>1576.13</v>
      </c>
      <c r="GO70">
        <f t="shared" ref="GO70:GO78" si="100">IF(BI70=2,ROUND(O70+X70+Y70+GK70,2),0)</f>
        <v>0</v>
      </c>
      <c r="GP70">
        <f t="shared" ref="GP70:GP78" si="101">IF(BI70=4,ROUND(O70+X70+Y70+GK70,2)+GX70,0)</f>
        <v>0</v>
      </c>
      <c r="GR70">
        <v>0</v>
      </c>
      <c r="GS70">
        <v>3</v>
      </c>
      <c r="GT70">
        <v>0</v>
      </c>
      <c r="GU70" t="s">
        <v>3</v>
      </c>
      <c r="GV70">
        <f t="shared" ref="GV70:GV78" si="102">ROUND((GT70),6)</f>
        <v>0</v>
      </c>
      <c r="GW70">
        <v>1</v>
      </c>
      <c r="GX70">
        <f t="shared" ref="GX70:GX78" si="103">ROUND(HC70*I70,2)</f>
        <v>0</v>
      </c>
      <c r="HA70">
        <v>0</v>
      </c>
      <c r="HB70">
        <v>0</v>
      </c>
      <c r="HC70">
        <f t="shared" ref="HC70:HC78" si="104">GV70*GW70</f>
        <v>0</v>
      </c>
      <c r="HE70" t="s">
        <v>3</v>
      </c>
      <c r="HF70" t="s">
        <v>3</v>
      </c>
      <c r="HM70" t="s">
        <v>3</v>
      </c>
      <c r="HN70" t="s">
        <v>3</v>
      </c>
      <c r="HO70" t="s">
        <v>3</v>
      </c>
      <c r="HP70" t="s">
        <v>3</v>
      </c>
      <c r="HQ70" t="s">
        <v>3</v>
      </c>
      <c r="IK70">
        <v>0</v>
      </c>
    </row>
    <row r="71" spans="1:245" x14ac:dyDescent="0.2">
      <c r="A71">
        <v>18</v>
      </c>
      <c r="B71">
        <v>1</v>
      </c>
      <c r="C71">
        <v>20</v>
      </c>
      <c r="E71" t="s">
        <v>132</v>
      </c>
      <c r="F71" t="s">
        <v>133</v>
      </c>
      <c r="G71" t="s">
        <v>134</v>
      </c>
      <c r="H71" t="s">
        <v>135</v>
      </c>
      <c r="I71">
        <f>I70*J71</f>
        <v>1.87</v>
      </c>
      <c r="J71">
        <v>1.1000000000000001</v>
      </c>
      <c r="K71">
        <v>1.1000000000000001</v>
      </c>
      <c r="O71">
        <f t="shared" si="65"/>
        <v>1354.81</v>
      </c>
      <c r="P71">
        <f t="shared" si="66"/>
        <v>1354.81</v>
      </c>
      <c r="Q71">
        <f t="shared" si="67"/>
        <v>0</v>
      </c>
      <c r="R71">
        <f t="shared" si="68"/>
        <v>0</v>
      </c>
      <c r="S71">
        <f t="shared" si="69"/>
        <v>0</v>
      </c>
      <c r="T71">
        <f t="shared" si="70"/>
        <v>0</v>
      </c>
      <c r="U71">
        <f t="shared" si="71"/>
        <v>0</v>
      </c>
      <c r="V71">
        <f t="shared" si="72"/>
        <v>0</v>
      </c>
      <c r="W71">
        <f t="shared" si="73"/>
        <v>0</v>
      </c>
      <c r="X71">
        <f t="shared" si="74"/>
        <v>0</v>
      </c>
      <c r="Y71">
        <f t="shared" si="75"/>
        <v>0</v>
      </c>
      <c r="AA71">
        <v>59267179</v>
      </c>
      <c r="AB71">
        <f t="shared" si="76"/>
        <v>104.99</v>
      </c>
      <c r="AC71">
        <f t="shared" si="77"/>
        <v>104.99</v>
      </c>
      <c r="AD71">
        <f t="shared" si="78"/>
        <v>0</v>
      </c>
      <c r="AE71">
        <f t="shared" si="79"/>
        <v>0</v>
      </c>
      <c r="AF71">
        <f t="shared" si="80"/>
        <v>0</v>
      </c>
      <c r="AG71">
        <f t="shared" si="81"/>
        <v>0</v>
      </c>
      <c r="AH71">
        <f t="shared" si="82"/>
        <v>0</v>
      </c>
      <c r="AI71">
        <f t="shared" si="83"/>
        <v>0</v>
      </c>
      <c r="AJ71">
        <f t="shared" si="84"/>
        <v>0</v>
      </c>
      <c r="AK71">
        <v>104.99</v>
      </c>
      <c r="AL71">
        <v>104.99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1</v>
      </c>
      <c r="AW71">
        <v>1.0029999999999999</v>
      </c>
      <c r="AZ71">
        <v>1</v>
      </c>
      <c r="BA71">
        <v>1</v>
      </c>
      <c r="BB71">
        <v>1</v>
      </c>
      <c r="BC71">
        <v>6.88</v>
      </c>
      <c r="BD71" t="s">
        <v>3</v>
      </c>
      <c r="BE71" t="s">
        <v>3</v>
      </c>
      <c r="BF71" t="s">
        <v>3</v>
      </c>
      <c r="BG71" t="s">
        <v>3</v>
      </c>
      <c r="BH71">
        <v>3</v>
      </c>
      <c r="BI71">
        <v>1</v>
      </c>
      <c r="BJ71" t="s">
        <v>136</v>
      </c>
      <c r="BM71">
        <v>64</v>
      </c>
      <c r="BN71">
        <v>0</v>
      </c>
      <c r="BO71" t="s">
        <v>133</v>
      </c>
      <c r="BP71">
        <v>1</v>
      </c>
      <c r="BQ71">
        <v>30</v>
      </c>
      <c r="BR71">
        <v>0</v>
      </c>
      <c r="BS71">
        <v>1</v>
      </c>
      <c r="BT71">
        <v>1</v>
      </c>
      <c r="BU71">
        <v>1</v>
      </c>
      <c r="BV71">
        <v>1</v>
      </c>
      <c r="BW71">
        <v>1</v>
      </c>
      <c r="BX71">
        <v>1</v>
      </c>
      <c r="BY71" t="s">
        <v>3</v>
      </c>
      <c r="BZ71">
        <v>0</v>
      </c>
      <c r="CA71">
        <v>0</v>
      </c>
      <c r="CB71" t="s">
        <v>3</v>
      </c>
      <c r="CE71">
        <v>0</v>
      </c>
      <c r="CF71">
        <v>0</v>
      </c>
      <c r="CG71">
        <v>0</v>
      </c>
      <c r="CM71">
        <v>0</v>
      </c>
      <c r="CN71" t="s">
        <v>3</v>
      </c>
      <c r="CO71">
        <v>0</v>
      </c>
      <c r="CP71">
        <f t="shared" si="85"/>
        <v>1354.81</v>
      </c>
      <c r="CQ71">
        <f t="shared" si="86"/>
        <v>724.49819359999992</v>
      </c>
      <c r="CR71">
        <f t="shared" si="87"/>
        <v>0</v>
      </c>
      <c r="CS71">
        <f t="shared" si="88"/>
        <v>0</v>
      </c>
      <c r="CT71">
        <f t="shared" si="89"/>
        <v>0</v>
      </c>
      <c r="CU71">
        <f t="shared" si="90"/>
        <v>0</v>
      </c>
      <c r="CV71">
        <f t="shared" si="91"/>
        <v>0</v>
      </c>
      <c r="CW71">
        <f t="shared" si="92"/>
        <v>0</v>
      </c>
      <c r="CX71">
        <f t="shared" si="93"/>
        <v>0</v>
      </c>
      <c r="CY71">
        <f t="shared" si="94"/>
        <v>0</v>
      </c>
      <c r="CZ71">
        <f t="shared" si="95"/>
        <v>0</v>
      </c>
      <c r="DC71" t="s">
        <v>3</v>
      </c>
      <c r="DD71" t="s">
        <v>3</v>
      </c>
      <c r="DE71" t="s">
        <v>3</v>
      </c>
      <c r="DF71" t="s">
        <v>3</v>
      </c>
      <c r="DG71" t="s">
        <v>3</v>
      </c>
      <c r="DH71" t="s">
        <v>3</v>
      </c>
      <c r="DI71" t="s">
        <v>3</v>
      </c>
      <c r="DJ71" t="s">
        <v>3</v>
      </c>
      <c r="DK71" t="s">
        <v>3</v>
      </c>
      <c r="DL71" t="s">
        <v>3</v>
      </c>
      <c r="DM71" t="s">
        <v>3</v>
      </c>
      <c r="DN71">
        <v>105</v>
      </c>
      <c r="DO71">
        <v>77</v>
      </c>
      <c r="DP71">
        <v>1.0469999999999999</v>
      </c>
      <c r="DQ71">
        <v>1.0029999999999999</v>
      </c>
      <c r="DU71">
        <v>1007</v>
      </c>
      <c r="DV71" t="s">
        <v>135</v>
      </c>
      <c r="DW71" t="s">
        <v>135</v>
      </c>
      <c r="DX71">
        <v>1</v>
      </c>
      <c r="DZ71" t="s">
        <v>3</v>
      </c>
      <c r="EA71" t="s">
        <v>3</v>
      </c>
      <c r="EB71" t="s">
        <v>3</v>
      </c>
      <c r="EC71" t="s">
        <v>3</v>
      </c>
      <c r="EE71">
        <v>42063668</v>
      </c>
      <c r="EF71">
        <v>30</v>
      </c>
      <c r="EG71" t="s">
        <v>25</v>
      </c>
      <c r="EH71">
        <v>0</v>
      </c>
      <c r="EI71" t="s">
        <v>3</v>
      </c>
      <c r="EJ71">
        <v>1</v>
      </c>
      <c r="EK71">
        <v>64</v>
      </c>
      <c r="EL71" t="s">
        <v>130</v>
      </c>
      <c r="EM71" t="s">
        <v>131</v>
      </c>
      <c r="EO71" t="s">
        <v>3</v>
      </c>
      <c r="EQ71">
        <v>0</v>
      </c>
      <c r="ER71">
        <v>104.99</v>
      </c>
      <c r="ES71">
        <v>104.99</v>
      </c>
      <c r="ET71">
        <v>0</v>
      </c>
      <c r="EU71">
        <v>0</v>
      </c>
      <c r="EV71">
        <v>0</v>
      </c>
      <c r="EW71">
        <v>0</v>
      </c>
      <c r="EX71">
        <v>0</v>
      </c>
      <c r="FQ71">
        <v>0</v>
      </c>
      <c r="FR71">
        <f t="shared" si="96"/>
        <v>0</v>
      </c>
      <c r="FS71">
        <v>0</v>
      </c>
      <c r="FX71">
        <v>105</v>
      </c>
      <c r="FY71">
        <v>77</v>
      </c>
      <c r="GA71" t="s">
        <v>3</v>
      </c>
      <c r="GD71">
        <v>0</v>
      </c>
      <c r="GF71">
        <v>125045279</v>
      </c>
      <c r="GG71">
        <v>2</v>
      </c>
      <c r="GH71">
        <v>1</v>
      </c>
      <c r="GI71">
        <v>2</v>
      </c>
      <c r="GJ71">
        <v>0</v>
      </c>
      <c r="GK71">
        <f>ROUND(R71*(R12)/100,2)</f>
        <v>0</v>
      </c>
      <c r="GL71">
        <f t="shared" si="97"/>
        <v>0</v>
      </c>
      <c r="GM71">
        <f t="shared" si="98"/>
        <v>1354.81</v>
      </c>
      <c r="GN71">
        <f t="shared" si="99"/>
        <v>1354.81</v>
      </c>
      <c r="GO71">
        <f t="shared" si="100"/>
        <v>0</v>
      </c>
      <c r="GP71">
        <f t="shared" si="101"/>
        <v>0</v>
      </c>
      <c r="GR71">
        <v>0</v>
      </c>
      <c r="GS71">
        <v>3</v>
      </c>
      <c r="GT71">
        <v>0</v>
      </c>
      <c r="GU71" t="s">
        <v>3</v>
      </c>
      <c r="GV71">
        <f t="shared" si="102"/>
        <v>0</v>
      </c>
      <c r="GW71">
        <v>1</v>
      </c>
      <c r="GX71">
        <f t="shared" si="103"/>
        <v>0</v>
      </c>
      <c r="HA71">
        <v>0</v>
      </c>
      <c r="HB71">
        <v>0</v>
      </c>
      <c r="HC71">
        <f t="shared" si="104"/>
        <v>0</v>
      </c>
      <c r="HE71" t="s">
        <v>3</v>
      </c>
      <c r="HF71" t="s">
        <v>3</v>
      </c>
      <c r="HM71" t="s">
        <v>3</v>
      </c>
      <c r="HN71" t="s">
        <v>3</v>
      </c>
      <c r="HO71" t="s">
        <v>3</v>
      </c>
      <c r="HP71" t="s">
        <v>3</v>
      </c>
      <c r="HQ71" t="s">
        <v>3</v>
      </c>
      <c r="IK71">
        <v>0</v>
      </c>
    </row>
    <row r="72" spans="1:245" x14ac:dyDescent="0.2">
      <c r="A72">
        <v>17</v>
      </c>
      <c r="B72">
        <v>1</v>
      </c>
      <c r="C72">
        <f>ROW(SmtRes!A28)</f>
        <v>28</v>
      </c>
      <c r="D72">
        <f>ROW(EtalonRes!A26)</f>
        <v>26</v>
      </c>
      <c r="E72" t="s">
        <v>137</v>
      </c>
      <c r="F72" t="s">
        <v>138</v>
      </c>
      <c r="G72" t="s">
        <v>139</v>
      </c>
      <c r="H72" t="s">
        <v>128</v>
      </c>
      <c r="I72">
        <v>1.7</v>
      </c>
      <c r="J72">
        <v>0</v>
      </c>
      <c r="K72">
        <v>1.7</v>
      </c>
      <c r="O72">
        <f t="shared" si="65"/>
        <v>830.99</v>
      </c>
      <c r="P72">
        <f t="shared" si="66"/>
        <v>10.86</v>
      </c>
      <c r="Q72">
        <f t="shared" si="67"/>
        <v>368.52</v>
      </c>
      <c r="R72">
        <f t="shared" si="68"/>
        <v>182.18</v>
      </c>
      <c r="S72">
        <f t="shared" si="69"/>
        <v>451.61</v>
      </c>
      <c r="T72">
        <f t="shared" si="70"/>
        <v>0</v>
      </c>
      <c r="U72">
        <f t="shared" si="71"/>
        <v>1.5129149999999998</v>
      </c>
      <c r="V72">
        <f t="shared" si="72"/>
        <v>0</v>
      </c>
      <c r="W72">
        <f t="shared" si="73"/>
        <v>0</v>
      </c>
      <c r="X72">
        <f t="shared" si="74"/>
        <v>392.9</v>
      </c>
      <c r="Y72">
        <f t="shared" si="75"/>
        <v>185.16</v>
      </c>
      <c r="AA72">
        <v>59267179</v>
      </c>
      <c r="AB72">
        <f t="shared" si="76"/>
        <v>25.8</v>
      </c>
      <c r="AC72">
        <f t="shared" si="77"/>
        <v>1.06</v>
      </c>
      <c r="AD72">
        <f t="shared" si="78"/>
        <v>15.89</v>
      </c>
      <c r="AE72">
        <f t="shared" si="79"/>
        <v>3.57</v>
      </c>
      <c r="AF72">
        <f t="shared" si="80"/>
        <v>8.85</v>
      </c>
      <c r="AG72">
        <f t="shared" si="81"/>
        <v>0</v>
      </c>
      <c r="AH72">
        <f t="shared" si="82"/>
        <v>0.85</v>
      </c>
      <c r="AI72">
        <f t="shared" si="83"/>
        <v>0</v>
      </c>
      <c r="AJ72">
        <f t="shared" si="84"/>
        <v>0</v>
      </c>
      <c r="AK72">
        <v>25.8</v>
      </c>
      <c r="AL72">
        <v>1.06</v>
      </c>
      <c r="AM72">
        <v>15.89</v>
      </c>
      <c r="AN72">
        <v>3.57</v>
      </c>
      <c r="AO72">
        <v>8.85</v>
      </c>
      <c r="AP72">
        <v>0</v>
      </c>
      <c r="AQ72">
        <v>0.85</v>
      </c>
      <c r="AR72">
        <v>0</v>
      </c>
      <c r="AS72">
        <v>0</v>
      </c>
      <c r="AT72">
        <v>87</v>
      </c>
      <c r="AU72">
        <v>41</v>
      </c>
      <c r="AV72">
        <v>1.0469999999999999</v>
      </c>
      <c r="AW72">
        <v>1.0029999999999999</v>
      </c>
      <c r="AZ72">
        <v>1</v>
      </c>
      <c r="BA72">
        <v>28.67</v>
      </c>
      <c r="BB72">
        <v>13.03</v>
      </c>
      <c r="BC72">
        <v>6.01</v>
      </c>
      <c r="BD72" t="s">
        <v>3</v>
      </c>
      <c r="BE72" t="s">
        <v>3</v>
      </c>
      <c r="BF72" t="s">
        <v>3</v>
      </c>
      <c r="BG72" t="s">
        <v>3</v>
      </c>
      <c r="BH72">
        <v>0</v>
      </c>
      <c r="BI72">
        <v>1</v>
      </c>
      <c r="BJ72" t="s">
        <v>140</v>
      </c>
      <c r="BM72">
        <v>64</v>
      </c>
      <c r="BN72">
        <v>0</v>
      </c>
      <c r="BO72" t="s">
        <v>138</v>
      </c>
      <c r="BP72">
        <v>1</v>
      </c>
      <c r="BQ72">
        <v>30</v>
      </c>
      <c r="BR72">
        <v>0</v>
      </c>
      <c r="BS72">
        <v>28.67</v>
      </c>
      <c r="BT72">
        <v>1</v>
      </c>
      <c r="BU72">
        <v>1</v>
      </c>
      <c r="BV72">
        <v>1</v>
      </c>
      <c r="BW72">
        <v>1</v>
      </c>
      <c r="BX72">
        <v>1</v>
      </c>
      <c r="BY72" t="s">
        <v>3</v>
      </c>
      <c r="BZ72">
        <v>87</v>
      </c>
      <c r="CA72">
        <v>41</v>
      </c>
      <c r="CB72" t="s">
        <v>3</v>
      </c>
      <c r="CE72">
        <v>0</v>
      </c>
      <c r="CF72">
        <v>0</v>
      </c>
      <c r="CG72">
        <v>0</v>
      </c>
      <c r="CM72">
        <v>0</v>
      </c>
      <c r="CN72" t="s">
        <v>3</v>
      </c>
      <c r="CO72">
        <v>0</v>
      </c>
      <c r="CP72">
        <f t="shared" si="85"/>
        <v>830.99</v>
      </c>
      <c r="CQ72">
        <f t="shared" si="86"/>
        <v>6.3897117999999997</v>
      </c>
      <c r="CR72">
        <f t="shared" si="87"/>
        <v>216.77789489999998</v>
      </c>
      <c r="CS72">
        <f t="shared" si="88"/>
        <v>107.16243929999999</v>
      </c>
      <c r="CT72">
        <f t="shared" si="89"/>
        <v>265.6547865</v>
      </c>
      <c r="CU72">
        <f t="shared" si="90"/>
        <v>0</v>
      </c>
      <c r="CV72">
        <f t="shared" si="91"/>
        <v>0.88994999999999991</v>
      </c>
      <c r="CW72">
        <f t="shared" si="92"/>
        <v>0</v>
      </c>
      <c r="CX72">
        <f t="shared" si="93"/>
        <v>0</v>
      </c>
      <c r="CY72">
        <f t="shared" si="94"/>
        <v>392.90070000000003</v>
      </c>
      <c r="CZ72">
        <f t="shared" si="95"/>
        <v>185.1601</v>
      </c>
      <c r="DC72" t="s">
        <v>3</v>
      </c>
      <c r="DD72" t="s">
        <v>3</v>
      </c>
      <c r="DE72" t="s">
        <v>3</v>
      </c>
      <c r="DF72" t="s">
        <v>3</v>
      </c>
      <c r="DG72" t="s">
        <v>3</v>
      </c>
      <c r="DH72" t="s">
        <v>3</v>
      </c>
      <c r="DI72" t="s">
        <v>3</v>
      </c>
      <c r="DJ72" t="s">
        <v>3</v>
      </c>
      <c r="DK72" t="s">
        <v>3</v>
      </c>
      <c r="DL72" t="s">
        <v>3</v>
      </c>
      <c r="DM72" t="s">
        <v>3</v>
      </c>
      <c r="DN72">
        <v>105</v>
      </c>
      <c r="DO72">
        <v>77</v>
      </c>
      <c r="DP72">
        <v>1.0469999999999999</v>
      </c>
      <c r="DQ72">
        <v>1.0029999999999999</v>
      </c>
      <c r="DU72">
        <v>1013</v>
      </c>
      <c r="DV72" t="s">
        <v>128</v>
      </c>
      <c r="DW72" t="s">
        <v>128</v>
      </c>
      <c r="DX72">
        <v>1</v>
      </c>
      <c r="DZ72" t="s">
        <v>3</v>
      </c>
      <c r="EA72" t="s">
        <v>3</v>
      </c>
      <c r="EB72" t="s">
        <v>3</v>
      </c>
      <c r="EC72" t="s">
        <v>3</v>
      </c>
      <c r="EE72">
        <v>42063668</v>
      </c>
      <c r="EF72">
        <v>30</v>
      </c>
      <c r="EG72" t="s">
        <v>25</v>
      </c>
      <c r="EH72">
        <v>0</v>
      </c>
      <c r="EI72" t="s">
        <v>3</v>
      </c>
      <c r="EJ72">
        <v>1</v>
      </c>
      <c r="EK72">
        <v>64</v>
      </c>
      <c r="EL72" t="s">
        <v>130</v>
      </c>
      <c r="EM72" t="s">
        <v>131</v>
      </c>
      <c r="EO72" t="s">
        <v>3</v>
      </c>
      <c r="EQ72">
        <v>0</v>
      </c>
      <c r="ER72">
        <v>25.8</v>
      </c>
      <c r="ES72">
        <v>1.06</v>
      </c>
      <c r="ET72">
        <v>15.89</v>
      </c>
      <c r="EU72">
        <v>3.57</v>
      </c>
      <c r="EV72">
        <v>8.85</v>
      </c>
      <c r="EW72">
        <v>0.85</v>
      </c>
      <c r="EX72">
        <v>0</v>
      </c>
      <c r="EY72">
        <v>0</v>
      </c>
      <c r="FQ72">
        <v>0</v>
      </c>
      <c r="FR72">
        <f t="shared" si="96"/>
        <v>0</v>
      </c>
      <c r="FS72">
        <v>0</v>
      </c>
      <c r="FX72">
        <v>105</v>
      </c>
      <c r="FY72">
        <v>77</v>
      </c>
      <c r="GA72" t="s">
        <v>3</v>
      </c>
      <c r="GD72">
        <v>0</v>
      </c>
      <c r="GF72">
        <v>-1010954982</v>
      </c>
      <c r="GG72">
        <v>2</v>
      </c>
      <c r="GH72">
        <v>1</v>
      </c>
      <c r="GI72">
        <v>2</v>
      </c>
      <c r="GJ72">
        <v>0</v>
      </c>
      <c r="GK72">
        <f>ROUND(R72*(R12)/100,2)</f>
        <v>291.49</v>
      </c>
      <c r="GL72">
        <f t="shared" si="97"/>
        <v>0</v>
      </c>
      <c r="GM72">
        <f t="shared" si="98"/>
        <v>1700.54</v>
      </c>
      <c r="GN72">
        <f t="shared" si="99"/>
        <v>1700.54</v>
      </c>
      <c r="GO72">
        <f t="shared" si="100"/>
        <v>0</v>
      </c>
      <c r="GP72">
        <f t="shared" si="101"/>
        <v>0</v>
      </c>
      <c r="GR72">
        <v>0</v>
      </c>
      <c r="GS72">
        <v>3</v>
      </c>
      <c r="GT72">
        <v>0</v>
      </c>
      <c r="GU72" t="s">
        <v>3</v>
      </c>
      <c r="GV72">
        <f t="shared" si="102"/>
        <v>0</v>
      </c>
      <c r="GW72">
        <v>1</v>
      </c>
      <c r="GX72">
        <f t="shared" si="103"/>
        <v>0</v>
      </c>
      <c r="HA72">
        <v>0</v>
      </c>
      <c r="HB72">
        <v>0</v>
      </c>
      <c r="HC72">
        <f t="shared" si="104"/>
        <v>0</v>
      </c>
      <c r="HE72" t="s">
        <v>3</v>
      </c>
      <c r="HF72" t="s">
        <v>3</v>
      </c>
      <c r="HM72" t="s">
        <v>3</v>
      </c>
      <c r="HN72" t="s">
        <v>3</v>
      </c>
      <c r="HO72" t="s">
        <v>3</v>
      </c>
      <c r="HP72" t="s">
        <v>3</v>
      </c>
      <c r="HQ72" t="s">
        <v>3</v>
      </c>
      <c r="IK72">
        <v>0</v>
      </c>
    </row>
    <row r="73" spans="1:245" x14ac:dyDescent="0.2">
      <c r="A73">
        <v>18</v>
      </c>
      <c r="B73">
        <v>1</v>
      </c>
      <c r="C73">
        <v>27</v>
      </c>
      <c r="E73" t="s">
        <v>141</v>
      </c>
      <c r="F73" t="s">
        <v>142</v>
      </c>
      <c r="G73" t="s">
        <v>143</v>
      </c>
      <c r="H73" t="s">
        <v>135</v>
      </c>
      <c r="I73">
        <f>I72*J73</f>
        <v>1.9550000000000001</v>
      </c>
      <c r="J73">
        <v>1.1500000000000001</v>
      </c>
      <c r="K73">
        <v>1.1499999999999999</v>
      </c>
      <c r="O73">
        <f t="shared" si="65"/>
        <v>5877.91</v>
      </c>
      <c r="P73">
        <f t="shared" si="66"/>
        <v>5877.91</v>
      </c>
      <c r="Q73">
        <f t="shared" si="67"/>
        <v>0</v>
      </c>
      <c r="R73">
        <f t="shared" si="68"/>
        <v>0</v>
      </c>
      <c r="S73">
        <f t="shared" si="69"/>
        <v>0</v>
      </c>
      <c r="T73">
        <f t="shared" si="70"/>
        <v>0</v>
      </c>
      <c r="U73">
        <f t="shared" si="71"/>
        <v>0</v>
      </c>
      <c r="V73">
        <f t="shared" si="72"/>
        <v>0</v>
      </c>
      <c r="W73">
        <f t="shared" si="73"/>
        <v>0</v>
      </c>
      <c r="X73">
        <f t="shared" si="74"/>
        <v>0</v>
      </c>
      <c r="Y73">
        <f t="shared" si="75"/>
        <v>0</v>
      </c>
      <c r="AA73">
        <v>59267179</v>
      </c>
      <c r="AB73">
        <f t="shared" si="76"/>
        <v>194.02</v>
      </c>
      <c r="AC73">
        <f t="shared" si="77"/>
        <v>194.02</v>
      </c>
      <c r="AD73">
        <f t="shared" si="78"/>
        <v>0</v>
      </c>
      <c r="AE73">
        <f t="shared" si="79"/>
        <v>0</v>
      </c>
      <c r="AF73">
        <f t="shared" si="80"/>
        <v>0</v>
      </c>
      <c r="AG73">
        <f t="shared" si="81"/>
        <v>0</v>
      </c>
      <c r="AH73">
        <f t="shared" si="82"/>
        <v>0</v>
      </c>
      <c r="AI73">
        <f t="shared" si="83"/>
        <v>0</v>
      </c>
      <c r="AJ73">
        <f t="shared" si="84"/>
        <v>0</v>
      </c>
      <c r="AK73">
        <v>194.02</v>
      </c>
      <c r="AL73">
        <v>194.02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1</v>
      </c>
      <c r="AW73">
        <v>1.0029999999999999</v>
      </c>
      <c r="AZ73">
        <v>1</v>
      </c>
      <c r="BA73">
        <v>1</v>
      </c>
      <c r="BB73">
        <v>1</v>
      </c>
      <c r="BC73">
        <v>15.45</v>
      </c>
      <c r="BD73" t="s">
        <v>3</v>
      </c>
      <c r="BE73" t="s">
        <v>3</v>
      </c>
      <c r="BF73" t="s">
        <v>3</v>
      </c>
      <c r="BG73" t="s">
        <v>3</v>
      </c>
      <c r="BH73">
        <v>3</v>
      </c>
      <c r="BI73">
        <v>1</v>
      </c>
      <c r="BJ73" t="s">
        <v>144</v>
      </c>
      <c r="BM73">
        <v>64</v>
      </c>
      <c r="BN73">
        <v>0</v>
      </c>
      <c r="BO73" t="s">
        <v>142</v>
      </c>
      <c r="BP73">
        <v>1</v>
      </c>
      <c r="BQ73">
        <v>30</v>
      </c>
      <c r="BR73">
        <v>0</v>
      </c>
      <c r="BS73">
        <v>1</v>
      </c>
      <c r="BT73">
        <v>1</v>
      </c>
      <c r="BU73">
        <v>1</v>
      </c>
      <c r="BV73">
        <v>1</v>
      </c>
      <c r="BW73">
        <v>1</v>
      </c>
      <c r="BX73">
        <v>1</v>
      </c>
      <c r="BY73" t="s">
        <v>3</v>
      </c>
      <c r="BZ73">
        <v>0</v>
      </c>
      <c r="CA73">
        <v>0</v>
      </c>
      <c r="CB73" t="s">
        <v>3</v>
      </c>
      <c r="CE73">
        <v>0</v>
      </c>
      <c r="CF73">
        <v>0</v>
      </c>
      <c r="CG73">
        <v>0</v>
      </c>
      <c r="CM73">
        <v>0</v>
      </c>
      <c r="CN73" t="s">
        <v>3</v>
      </c>
      <c r="CO73">
        <v>0</v>
      </c>
      <c r="CP73">
        <f t="shared" si="85"/>
        <v>5877.91</v>
      </c>
      <c r="CQ73">
        <f t="shared" si="86"/>
        <v>3006.6018269999995</v>
      </c>
      <c r="CR73">
        <f t="shared" si="87"/>
        <v>0</v>
      </c>
      <c r="CS73">
        <f t="shared" si="88"/>
        <v>0</v>
      </c>
      <c r="CT73">
        <f t="shared" si="89"/>
        <v>0</v>
      </c>
      <c r="CU73">
        <f t="shared" si="90"/>
        <v>0</v>
      </c>
      <c r="CV73">
        <f t="shared" si="91"/>
        <v>0</v>
      </c>
      <c r="CW73">
        <f t="shared" si="92"/>
        <v>0</v>
      </c>
      <c r="CX73">
        <f t="shared" si="93"/>
        <v>0</v>
      </c>
      <c r="CY73">
        <f t="shared" si="94"/>
        <v>0</v>
      </c>
      <c r="CZ73">
        <f t="shared" si="95"/>
        <v>0</v>
      </c>
      <c r="DC73" t="s">
        <v>3</v>
      </c>
      <c r="DD73" t="s">
        <v>3</v>
      </c>
      <c r="DE73" t="s">
        <v>3</v>
      </c>
      <c r="DF73" t="s">
        <v>3</v>
      </c>
      <c r="DG73" t="s">
        <v>3</v>
      </c>
      <c r="DH73" t="s">
        <v>3</v>
      </c>
      <c r="DI73" t="s">
        <v>3</v>
      </c>
      <c r="DJ73" t="s">
        <v>3</v>
      </c>
      <c r="DK73" t="s">
        <v>3</v>
      </c>
      <c r="DL73" t="s">
        <v>3</v>
      </c>
      <c r="DM73" t="s">
        <v>3</v>
      </c>
      <c r="DN73">
        <v>105</v>
      </c>
      <c r="DO73">
        <v>77</v>
      </c>
      <c r="DP73">
        <v>1.0469999999999999</v>
      </c>
      <c r="DQ73">
        <v>1.0029999999999999</v>
      </c>
      <c r="DU73">
        <v>1007</v>
      </c>
      <c r="DV73" t="s">
        <v>135</v>
      </c>
      <c r="DW73" t="s">
        <v>135</v>
      </c>
      <c r="DX73">
        <v>1</v>
      </c>
      <c r="DZ73" t="s">
        <v>3</v>
      </c>
      <c r="EA73" t="s">
        <v>3</v>
      </c>
      <c r="EB73" t="s">
        <v>3</v>
      </c>
      <c r="EC73" t="s">
        <v>3</v>
      </c>
      <c r="EE73">
        <v>42063668</v>
      </c>
      <c r="EF73">
        <v>30</v>
      </c>
      <c r="EG73" t="s">
        <v>25</v>
      </c>
      <c r="EH73">
        <v>0</v>
      </c>
      <c r="EI73" t="s">
        <v>3</v>
      </c>
      <c r="EJ73">
        <v>1</v>
      </c>
      <c r="EK73">
        <v>64</v>
      </c>
      <c r="EL73" t="s">
        <v>130</v>
      </c>
      <c r="EM73" t="s">
        <v>131</v>
      </c>
      <c r="EO73" t="s">
        <v>3</v>
      </c>
      <c r="EQ73">
        <v>0</v>
      </c>
      <c r="ER73">
        <v>194.02</v>
      </c>
      <c r="ES73">
        <v>194.02</v>
      </c>
      <c r="ET73">
        <v>0</v>
      </c>
      <c r="EU73">
        <v>0</v>
      </c>
      <c r="EV73">
        <v>0</v>
      </c>
      <c r="EW73">
        <v>0</v>
      </c>
      <c r="EX73">
        <v>0</v>
      </c>
      <c r="FQ73">
        <v>0</v>
      </c>
      <c r="FR73">
        <f t="shared" si="96"/>
        <v>0</v>
      </c>
      <c r="FS73">
        <v>0</v>
      </c>
      <c r="FX73">
        <v>105</v>
      </c>
      <c r="FY73">
        <v>77</v>
      </c>
      <c r="GA73" t="s">
        <v>3</v>
      </c>
      <c r="GD73">
        <v>0</v>
      </c>
      <c r="GF73">
        <v>20908428</v>
      </c>
      <c r="GG73">
        <v>2</v>
      </c>
      <c r="GH73">
        <v>1</v>
      </c>
      <c r="GI73">
        <v>2</v>
      </c>
      <c r="GJ73">
        <v>0</v>
      </c>
      <c r="GK73">
        <f>ROUND(R73*(R12)/100,2)</f>
        <v>0</v>
      </c>
      <c r="GL73">
        <f t="shared" si="97"/>
        <v>0</v>
      </c>
      <c r="GM73">
        <f t="shared" si="98"/>
        <v>5877.91</v>
      </c>
      <c r="GN73">
        <f t="shared" si="99"/>
        <v>5877.91</v>
      </c>
      <c r="GO73">
        <f t="shared" si="100"/>
        <v>0</v>
      </c>
      <c r="GP73">
        <f t="shared" si="101"/>
        <v>0</v>
      </c>
      <c r="GR73">
        <v>0</v>
      </c>
      <c r="GS73">
        <v>3</v>
      </c>
      <c r="GT73">
        <v>0</v>
      </c>
      <c r="GU73" t="s">
        <v>3</v>
      </c>
      <c r="GV73">
        <f t="shared" si="102"/>
        <v>0</v>
      </c>
      <c r="GW73">
        <v>1</v>
      </c>
      <c r="GX73">
        <f t="shared" si="103"/>
        <v>0</v>
      </c>
      <c r="HA73">
        <v>0</v>
      </c>
      <c r="HB73">
        <v>0</v>
      </c>
      <c r="HC73">
        <f t="shared" si="104"/>
        <v>0</v>
      </c>
      <c r="HE73" t="s">
        <v>3</v>
      </c>
      <c r="HF73" t="s">
        <v>3</v>
      </c>
      <c r="HM73" t="s">
        <v>3</v>
      </c>
      <c r="HN73" t="s">
        <v>3</v>
      </c>
      <c r="HO73" t="s">
        <v>3</v>
      </c>
      <c r="HP73" t="s">
        <v>3</v>
      </c>
      <c r="HQ73" t="s">
        <v>3</v>
      </c>
      <c r="IK73">
        <v>0</v>
      </c>
    </row>
    <row r="74" spans="1:245" x14ac:dyDescent="0.2">
      <c r="A74">
        <v>17</v>
      </c>
      <c r="B74">
        <v>1</v>
      </c>
      <c r="C74">
        <f>ROW(SmtRes!A33)</f>
        <v>33</v>
      </c>
      <c r="D74">
        <f>ROW(EtalonRes!A30)</f>
        <v>30</v>
      </c>
      <c r="E74" t="s">
        <v>145</v>
      </c>
      <c r="F74" t="s">
        <v>18</v>
      </c>
      <c r="G74" t="s">
        <v>146</v>
      </c>
      <c r="H74" t="s">
        <v>20</v>
      </c>
      <c r="I74">
        <v>7.0000000000000007E-2</v>
      </c>
      <c r="J74">
        <v>0</v>
      </c>
      <c r="K74">
        <v>7.0000000000000007E-2</v>
      </c>
      <c r="O74">
        <f t="shared" si="65"/>
        <v>2608.0300000000002</v>
      </c>
      <c r="P74">
        <f t="shared" si="66"/>
        <v>0</v>
      </c>
      <c r="Q74">
        <f t="shared" si="67"/>
        <v>518.54999999999995</v>
      </c>
      <c r="R74">
        <f t="shared" si="68"/>
        <v>191.58</v>
      </c>
      <c r="S74">
        <f t="shared" si="69"/>
        <v>2089.48</v>
      </c>
      <c r="T74">
        <f t="shared" si="70"/>
        <v>0</v>
      </c>
      <c r="U74">
        <f t="shared" si="71"/>
        <v>6.277425</v>
      </c>
      <c r="V74">
        <f t="shared" si="72"/>
        <v>0</v>
      </c>
      <c r="W74">
        <f t="shared" si="73"/>
        <v>0</v>
      </c>
      <c r="X74">
        <f t="shared" si="74"/>
        <v>2653.64</v>
      </c>
      <c r="Y74">
        <f t="shared" si="75"/>
        <v>1191</v>
      </c>
      <c r="AA74">
        <v>59267179</v>
      </c>
      <c r="AB74">
        <f t="shared" si="76"/>
        <v>1615.64</v>
      </c>
      <c r="AC74">
        <f t="shared" si="77"/>
        <v>0</v>
      </c>
      <c r="AD74">
        <f t="shared" si="78"/>
        <v>657.82</v>
      </c>
      <c r="AE74">
        <f t="shared" si="79"/>
        <v>87.82</v>
      </c>
      <c r="AF74">
        <f t="shared" si="80"/>
        <v>957.82</v>
      </c>
      <c r="AG74">
        <f t="shared" si="81"/>
        <v>0</v>
      </c>
      <c r="AH74">
        <f t="shared" si="82"/>
        <v>82.5</v>
      </c>
      <c r="AI74">
        <f t="shared" si="83"/>
        <v>0</v>
      </c>
      <c r="AJ74">
        <f t="shared" si="84"/>
        <v>0</v>
      </c>
      <c r="AK74">
        <v>1615.64</v>
      </c>
      <c r="AL74">
        <v>0</v>
      </c>
      <c r="AM74">
        <v>657.82</v>
      </c>
      <c r="AN74">
        <v>87.82</v>
      </c>
      <c r="AO74">
        <v>957.82</v>
      </c>
      <c r="AP74">
        <v>0</v>
      </c>
      <c r="AQ74">
        <v>82.5</v>
      </c>
      <c r="AR74">
        <v>0</v>
      </c>
      <c r="AS74">
        <v>0</v>
      </c>
      <c r="AT74">
        <v>127</v>
      </c>
      <c r="AU74">
        <v>57</v>
      </c>
      <c r="AV74">
        <v>1.087</v>
      </c>
      <c r="AW74">
        <v>1.0029999999999999</v>
      </c>
      <c r="AZ74">
        <v>1</v>
      </c>
      <c r="BA74">
        <v>28.67</v>
      </c>
      <c r="BB74">
        <v>10.36</v>
      </c>
      <c r="BC74">
        <v>1</v>
      </c>
      <c r="BD74" t="s">
        <v>3</v>
      </c>
      <c r="BE74" t="s">
        <v>3</v>
      </c>
      <c r="BF74" t="s">
        <v>3</v>
      </c>
      <c r="BG74" t="s">
        <v>3</v>
      </c>
      <c r="BH74">
        <v>0</v>
      </c>
      <c r="BI74">
        <v>1</v>
      </c>
      <c r="BJ74" t="s">
        <v>21</v>
      </c>
      <c r="BM74">
        <v>55</v>
      </c>
      <c r="BN74">
        <v>0</v>
      </c>
      <c r="BO74" t="s">
        <v>18</v>
      </c>
      <c r="BP74">
        <v>1</v>
      </c>
      <c r="BQ74">
        <v>30</v>
      </c>
      <c r="BR74">
        <v>0</v>
      </c>
      <c r="BS74">
        <v>28.67</v>
      </c>
      <c r="BT74">
        <v>1</v>
      </c>
      <c r="BU74">
        <v>1</v>
      </c>
      <c r="BV74">
        <v>1</v>
      </c>
      <c r="BW74">
        <v>1</v>
      </c>
      <c r="BX74">
        <v>1</v>
      </c>
      <c r="BY74" t="s">
        <v>3</v>
      </c>
      <c r="BZ74">
        <v>127</v>
      </c>
      <c r="CA74">
        <v>57</v>
      </c>
      <c r="CB74" t="s">
        <v>3</v>
      </c>
      <c r="CE74">
        <v>0</v>
      </c>
      <c r="CF74">
        <v>0</v>
      </c>
      <c r="CG74">
        <v>0</v>
      </c>
      <c r="CM74">
        <v>0</v>
      </c>
      <c r="CN74" t="s">
        <v>3</v>
      </c>
      <c r="CO74">
        <v>0</v>
      </c>
      <c r="CP74">
        <f t="shared" si="85"/>
        <v>2608.0299999999997</v>
      </c>
      <c r="CQ74">
        <f t="shared" si="86"/>
        <v>0</v>
      </c>
      <c r="CR74">
        <f t="shared" si="87"/>
        <v>7407.9215224</v>
      </c>
      <c r="CS74">
        <f t="shared" si="88"/>
        <v>2736.8479477999999</v>
      </c>
      <c r="CT74">
        <f t="shared" si="89"/>
        <v>29849.780247800001</v>
      </c>
      <c r="CU74">
        <f t="shared" si="90"/>
        <v>0</v>
      </c>
      <c r="CV74">
        <f t="shared" si="91"/>
        <v>89.677499999999995</v>
      </c>
      <c r="CW74">
        <f t="shared" si="92"/>
        <v>0</v>
      </c>
      <c r="CX74">
        <f t="shared" si="93"/>
        <v>0</v>
      </c>
      <c r="CY74">
        <f t="shared" si="94"/>
        <v>2653.6396</v>
      </c>
      <c r="CZ74">
        <f t="shared" si="95"/>
        <v>1191.0036</v>
      </c>
      <c r="DC74" t="s">
        <v>3</v>
      </c>
      <c r="DD74" t="s">
        <v>3</v>
      </c>
      <c r="DE74" t="s">
        <v>3</v>
      </c>
      <c r="DF74" t="s">
        <v>3</v>
      </c>
      <c r="DG74" t="s">
        <v>3</v>
      </c>
      <c r="DH74" t="s">
        <v>3</v>
      </c>
      <c r="DI74" t="s">
        <v>3</v>
      </c>
      <c r="DJ74" t="s">
        <v>3</v>
      </c>
      <c r="DK74" t="s">
        <v>3</v>
      </c>
      <c r="DL74" t="s">
        <v>3</v>
      </c>
      <c r="DM74" t="s">
        <v>3</v>
      </c>
      <c r="DN74">
        <v>159</v>
      </c>
      <c r="DO74">
        <v>119</v>
      </c>
      <c r="DP74">
        <v>1.087</v>
      </c>
      <c r="DQ74">
        <v>1.0029999999999999</v>
      </c>
      <c r="DU74">
        <v>1010</v>
      </c>
      <c r="DV74" t="s">
        <v>20</v>
      </c>
      <c r="DW74" t="s">
        <v>20</v>
      </c>
      <c r="DX74">
        <v>100</v>
      </c>
      <c r="DZ74" t="s">
        <v>3</v>
      </c>
      <c r="EA74" t="s">
        <v>3</v>
      </c>
      <c r="EB74" t="s">
        <v>3</v>
      </c>
      <c r="EC74" t="s">
        <v>3</v>
      </c>
      <c r="EE74">
        <v>42063659</v>
      </c>
      <c r="EF74">
        <v>30</v>
      </c>
      <c r="EG74" t="s">
        <v>25</v>
      </c>
      <c r="EH74">
        <v>0</v>
      </c>
      <c r="EI74" t="s">
        <v>3</v>
      </c>
      <c r="EJ74">
        <v>1</v>
      </c>
      <c r="EK74">
        <v>55</v>
      </c>
      <c r="EL74" t="s">
        <v>26</v>
      </c>
      <c r="EM74" t="s">
        <v>27</v>
      </c>
      <c r="EO74" t="s">
        <v>3</v>
      </c>
      <c r="EQ74">
        <v>512</v>
      </c>
      <c r="ER74">
        <v>1615.64</v>
      </c>
      <c r="ES74">
        <v>0</v>
      </c>
      <c r="ET74">
        <v>657.82</v>
      </c>
      <c r="EU74">
        <v>87.82</v>
      </c>
      <c r="EV74">
        <v>957.82</v>
      </c>
      <c r="EW74">
        <v>82.5</v>
      </c>
      <c r="EX74">
        <v>0</v>
      </c>
      <c r="EY74">
        <v>0</v>
      </c>
      <c r="FQ74">
        <v>0</v>
      </c>
      <c r="FR74">
        <f t="shared" si="96"/>
        <v>0</v>
      </c>
      <c r="FS74">
        <v>0</v>
      </c>
      <c r="FX74">
        <v>159</v>
      </c>
      <c r="FY74">
        <v>119</v>
      </c>
      <c r="GA74" t="s">
        <v>3</v>
      </c>
      <c r="GD74">
        <v>0</v>
      </c>
      <c r="GF74">
        <v>1972884513</v>
      </c>
      <c r="GG74">
        <v>2</v>
      </c>
      <c r="GH74">
        <v>1</v>
      </c>
      <c r="GI74">
        <v>2</v>
      </c>
      <c r="GJ74">
        <v>0</v>
      </c>
      <c r="GK74">
        <f>ROUND(R74*(R12)/100,2)</f>
        <v>306.52999999999997</v>
      </c>
      <c r="GL74">
        <f t="shared" si="97"/>
        <v>0</v>
      </c>
      <c r="GM74">
        <f t="shared" si="98"/>
        <v>6759.2</v>
      </c>
      <c r="GN74">
        <f t="shared" si="99"/>
        <v>6759.2</v>
      </c>
      <c r="GO74">
        <f t="shared" si="100"/>
        <v>0</v>
      </c>
      <c r="GP74">
        <f t="shared" si="101"/>
        <v>0</v>
      </c>
      <c r="GR74">
        <v>0</v>
      </c>
      <c r="GS74">
        <v>3</v>
      </c>
      <c r="GT74">
        <v>0</v>
      </c>
      <c r="GU74" t="s">
        <v>3</v>
      </c>
      <c r="GV74">
        <f t="shared" si="102"/>
        <v>0</v>
      </c>
      <c r="GW74">
        <v>1</v>
      </c>
      <c r="GX74">
        <f t="shared" si="103"/>
        <v>0</v>
      </c>
      <c r="HA74">
        <v>0</v>
      </c>
      <c r="HB74">
        <v>0</v>
      </c>
      <c r="HC74">
        <f t="shared" si="104"/>
        <v>0</v>
      </c>
      <c r="HE74" t="s">
        <v>3</v>
      </c>
      <c r="HF74" t="s">
        <v>3</v>
      </c>
      <c r="HM74" t="s">
        <v>3</v>
      </c>
      <c r="HN74" t="s">
        <v>3</v>
      </c>
      <c r="HO74" t="s">
        <v>3</v>
      </c>
      <c r="HP74" t="s">
        <v>3</v>
      </c>
      <c r="HQ74" t="s">
        <v>3</v>
      </c>
      <c r="IK74">
        <v>0</v>
      </c>
    </row>
    <row r="75" spans="1:245" x14ac:dyDescent="0.2">
      <c r="A75">
        <v>18</v>
      </c>
      <c r="B75">
        <v>1</v>
      </c>
      <c r="C75">
        <v>32</v>
      </c>
      <c r="E75" t="s">
        <v>147</v>
      </c>
      <c r="F75" t="s">
        <v>148</v>
      </c>
      <c r="G75" t="s">
        <v>149</v>
      </c>
      <c r="H75" t="s">
        <v>135</v>
      </c>
      <c r="I75">
        <f>I74*J75</f>
        <v>2.5920000000000001</v>
      </c>
      <c r="J75">
        <v>37.028571428571425</v>
      </c>
      <c r="K75">
        <v>37.028570999999999</v>
      </c>
      <c r="O75">
        <f t="shared" si="65"/>
        <v>26271.34</v>
      </c>
      <c r="P75">
        <f t="shared" si="66"/>
        <v>26271.34</v>
      </c>
      <c r="Q75">
        <f t="shared" si="67"/>
        <v>0</v>
      </c>
      <c r="R75">
        <f t="shared" si="68"/>
        <v>0</v>
      </c>
      <c r="S75">
        <f t="shared" si="69"/>
        <v>0</v>
      </c>
      <c r="T75">
        <f t="shared" si="70"/>
        <v>0</v>
      </c>
      <c r="U75">
        <f t="shared" si="71"/>
        <v>0</v>
      </c>
      <c r="V75">
        <f t="shared" si="72"/>
        <v>0</v>
      </c>
      <c r="W75">
        <f t="shared" si="73"/>
        <v>0</v>
      </c>
      <c r="X75">
        <f t="shared" si="74"/>
        <v>0</v>
      </c>
      <c r="Y75">
        <f t="shared" si="75"/>
        <v>0</v>
      </c>
      <c r="AA75">
        <v>59267179</v>
      </c>
      <c r="AB75">
        <f t="shared" si="76"/>
        <v>683.71</v>
      </c>
      <c r="AC75">
        <f t="shared" si="77"/>
        <v>683.71</v>
      </c>
      <c r="AD75">
        <f t="shared" si="78"/>
        <v>0</v>
      </c>
      <c r="AE75">
        <f t="shared" si="79"/>
        <v>0</v>
      </c>
      <c r="AF75">
        <f t="shared" si="80"/>
        <v>0</v>
      </c>
      <c r="AG75">
        <f t="shared" si="81"/>
        <v>0</v>
      </c>
      <c r="AH75">
        <f t="shared" si="82"/>
        <v>0</v>
      </c>
      <c r="AI75">
        <f t="shared" si="83"/>
        <v>0</v>
      </c>
      <c r="AJ75">
        <f t="shared" si="84"/>
        <v>0</v>
      </c>
      <c r="AK75">
        <v>683.71</v>
      </c>
      <c r="AL75">
        <v>683.71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1</v>
      </c>
      <c r="AW75">
        <v>1.0029999999999999</v>
      </c>
      <c r="AZ75">
        <v>1</v>
      </c>
      <c r="BA75">
        <v>1</v>
      </c>
      <c r="BB75">
        <v>1</v>
      </c>
      <c r="BC75">
        <v>14.78</v>
      </c>
      <c r="BD75" t="s">
        <v>3</v>
      </c>
      <c r="BE75" t="s">
        <v>3</v>
      </c>
      <c r="BF75" t="s">
        <v>3</v>
      </c>
      <c r="BG75" t="s">
        <v>3</v>
      </c>
      <c r="BH75">
        <v>3</v>
      </c>
      <c r="BI75">
        <v>1</v>
      </c>
      <c r="BJ75" t="s">
        <v>150</v>
      </c>
      <c r="BM75">
        <v>55</v>
      </c>
      <c r="BN75">
        <v>0</v>
      </c>
      <c r="BO75" t="s">
        <v>148</v>
      </c>
      <c r="BP75">
        <v>1</v>
      </c>
      <c r="BQ75">
        <v>30</v>
      </c>
      <c r="BR75">
        <v>0</v>
      </c>
      <c r="BS75">
        <v>1</v>
      </c>
      <c r="BT75">
        <v>1</v>
      </c>
      <c r="BU75">
        <v>1</v>
      </c>
      <c r="BV75">
        <v>1</v>
      </c>
      <c r="BW75">
        <v>1</v>
      </c>
      <c r="BX75">
        <v>1</v>
      </c>
      <c r="BY75" t="s">
        <v>3</v>
      </c>
      <c r="BZ75">
        <v>0</v>
      </c>
      <c r="CA75">
        <v>0</v>
      </c>
      <c r="CB75" t="s">
        <v>3</v>
      </c>
      <c r="CE75">
        <v>0</v>
      </c>
      <c r="CF75">
        <v>0</v>
      </c>
      <c r="CG75">
        <v>0</v>
      </c>
      <c r="CM75">
        <v>0</v>
      </c>
      <c r="CN75" t="s">
        <v>3</v>
      </c>
      <c r="CO75">
        <v>0</v>
      </c>
      <c r="CP75">
        <f t="shared" si="85"/>
        <v>26271.34</v>
      </c>
      <c r="CQ75">
        <f t="shared" si="86"/>
        <v>10135.549501399999</v>
      </c>
      <c r="CR75">
        <f t="shared" si="87"/>
        <v>0</v>
      </c>
      <c r="CS75">
        <f t="shared" si="88"/>
        <v>0</v>
      </c>
      <c r="CT75">
        <f t="shared" si="89"/>
        <v>0</v>
      </c>
      <c r="CU75">
        <f t="shared" si="90"/>
        <v>0</v>
      </c>
      <c r="CV75">
        <f t="shared" si="91"/>
        <v>0</v>
      </c>
      <c r="CW75">
        <f t="shared" si="92"/>
        <v>0</v>
      </c>
      <c r="CX75">
        <f t="shared" si="93"/>
        <v>0</v>
      </c>
      <c r="CY75">
        <f t="shared" si="94"/>
        <v>0</v>
      </c>
      <c r="CZ75">
        <f t="shared" si="95"/>
        <v>0</v>
      </c>
      <c r="DC75" t="s">
        <v>3</v>
      </c>
      <c r="DD75" t="s">
        <v>3</v>
      </c>
      <c r="DE75" t="s">
        <v>3</v>
      </c>
      <c r="DF75" t="s">
        <v>3</v>
      </c>
      <c r="DG75" t="s">
        <v>3</v>
      </c>
      <c r="DH75" t="s">
        <v>3</v>
      </c>
      <c r="DI75" t="s">
        <v>3</v>
      </c>
      <c r="DJ75" t="s">
        <v>3</v>
      </c>
      <c r="DK75" t="s">
        <v>3</v>
      </c>
      <c r="DL75" t="s">
        <v>3</v>
      </c>
      <c r="DM75" t="s">
        <v>3</v>
      </c>
      <c r="DN75">
        <v>159</v>
      </c>
      <c r="DO75">
        <v>119</v>
      </c>
      <c r="DP75">
        <v>1.087</v>
      </c>
      <c r="DQ75">
        <v>1.0029999999999999</v>
      </c>
      <c r="DU75">
        <v>1007</v>
      </c>
      <c r="DV75" t="s">
        <v>135</v>
      </c>
      <c r="DW75" t="s">
        <v>135</v>
      </c>
      <c r="DX75">
        <v>1</v>
      </c>
      <c r="DZ75" t="s">
        <v>3</v>
      </c>
      <c r="EA75" t="s">
        <v>3</v>
      </c>
      <c r="EB75" t="s">
        <v>3</v>
      </c>
      <c r="EC75" t="s">
        <v>3</v>
      </c>
      <c r="EE75">
        <v>42063659</v>
      </c>
      <c r="EF75">
        <v>30</v>
      </c>
      <c r="EG75" t="s">
        <v>25</v>
      </c>
      <c r="EH75">
        <v>0</v>
      </c>
      <c r="EI75" t="s">
        <v>3</v>
      </c>
      <c r="EJ75">
        <v>1</v>
      </c>
      <c r="EK75">
        <v>55</v>
      </c>
      <c r="EL75" t="s">
        <v>26</v>
      </c>
      <c r="EM75" t="s">
        <v>27</v>
      </c>
      <c r="EO75" t="s">
        <v>3</v>
      </c>
      <c r="EQ75">
        <v>0</v>
      </c>
      <c r="ER75">
        <v>683.71</v>
      </c>
      <c r="ES75">
        <v>683.71</v>
      </c>
      <c r="ET75">
        <v>0</v>
      </c>
      <c r="EU75">
        <v>0</v>
      </c>
      <c r="EV75">
        <v>0</v>
      </c>
      <c r="EW75">
        <v>0</v>
      </c>
      <c r="EX75">
        <v>0</v>
      </c>
      <c r="FQ75">
        <v>0</v>
      </c>
      <c r="FR75">
        <f t="shared" si="96"/>
        <v>0</v>
      </c>
      <c r="FS75">
        <v>0</v>
      </c>
      <c r="FX75">
        <v>159</v>
      </c>
      <c r="FY75">
        <v>119</v>
      </c>
      <c r="GA75" t="s">
        <v>3</v>
      </c>
      <c r="GD75">
        <v>0</v>
      </c>
      <c r="GF75">
        <v>114858846</v>
      </c>
      <c r="GG75">
        <v>2</v>
      </c>
      <c r="GH75">
        <v>1</v>
      </c>
      <c r="GI75">
        <v>2</v>
      </c>
      <c r="GJ75">
        <v>0</v>
      </c>
      <c r="GK75">
        <f>ROUND(R75*(R12)/100,2)</f>
        <v>0</v>
      </c>
      <c r="GL75">
        <f t="shared" si="97"/>
        <v>0</v>
      </c>
      <c r="GM75">
        <f t="shared" si="98"/>
        <v>26271.34</v>
      </c>
      <c r="GN75">
        <f t="shared" si="99"/>
        <v>26271.34</v>
      </c>
      <c r="GO75">
        <f t="shared" si="100"/>
        <v>0</v>
      </c>
      <c r="GP75">
        <f t="shared" si="101"/>
        <v>0</v>
      </c>
      <c r="GR75">
        <v>0</v>
      </c>
      <c r="GS75">
        <v>3</v>
      </c>
      <c r="GT75">
        <v>0</v>
      </c>
      <c r="GU75" t="s">
        <v>3</v>
      </c>
      <c r="GV75">
        <f t="shared" si="102"/>
        <v>0</v>
      </c>
      <c r="GW75">
        <v>1</v>
      </c>
      <c r="GX75">
        <f t="shared" si="103"/>
        <v>0</v>
      </c>
      <c r="HA75">
        <v>0</v>
      </c>
      <c r="HB75">
        <v>0</v>
      </c>
      <c r="HC75">
        <f t="shared" si="104"/>
        <v>0</v>
      </c>
      <c r="HE75" t="s">
        <v>3</v>
      </c>
      <c r="HF75" t="s">
        <v>3</v>
      </c>
      <c r="HM75" t="s">
        <v>3</v>
      </c>
      <c r="HN75" t="s">
        <v>3</v>
      </c>
      <c r="HO75" t="s">
        <v>3</v>
      </c>
      <c r="HP75" t="s">
        <v>3</v>
      </c>
      <c r="HQ75" t="s">
        <v>3</v>
      </c>
      <c r="IK75">
        <v>0</v>
      </c>
    </row>
    <row r="76" spans="1:245" x14ac:dyDescent="0.2">
      <c r="A76">
        <v>17</v>
      </c>
      <c r="B76">
        <v>1</v>
      </c>
      <c r="C76">
        <f>ROW(SmtRes!A39)</f>
        <v>39</v>
      </c>
      <c r="D76">
        <f>ROW(EtalonRes!A35)</f>
        <v>35</v>
      </c>
      <c r="E76" t="s">
        <v>151</v>
      </c>
      <c r="F76" t="s">
        <v>30</v>
      </c>
      <c r="G76" t="s">
        <v>152</v>
      </c>
      <c r="H76" t="s">
        <v>32</v>
      </c>
      <c r="I76">
        <f>ROUND(ROUND(13.48*4.81/1000,3),9)</f>
        <v>6.5000000000000002E-2</v>
      </c>
      <c r="J76">
        <v>0</v>
      </c>
      <c r="K76">
        <f>ROUND(ROUND(13.48*4.81/1000,3),9)</f>
        <v>6.5000000000000002E-2</v>
      </c>
      <c r="O76">
        <f t="shared" si="65"/>
        <v>1546.67</v>
      </c>
      <c r="P76">
        <f t="shared" si="66"/>
        <v>312.27</v>
      </c>
      <c r="Q76">
        <f t="shared" si="67"/>
        <v>118.84</v>
      </c>
      <c r="R76">
        <f t="shared" si="68"/>
        <v>26.34</v>
      </c>
      <c r="S76">
        <f t="shared" si="69"/>
        <v>1115.56</v>
      </c>
      <c r="T76">
        <f t="shared" si="70"/>
        <v>0</v>
      </c>
      <c r="U76">
        <f t="shared" si="71"/>
        <v>2.9059485</v>
      </c>
      <c r="V76">
        <f t="shared" si="72"/>
        <v>0</v>
      </c>
      <c r="W76">
        <f t="shared" si="73"/>
        <v>0</v>
      </c>
      <c r="X76">
        <f t="shared" si="74"/>
        <v>970.54</v>
      </c>
      <c r="Y76">
        <f t="shared" si="75"/>
        <v>457.38</v>
      </c>
      <c r="AA76">
        <v>59267179</v>
      </c>
      <c r="AB76">
        <f t="shared" si="76"/>
        <v>1020.66</v>
      </c>
      <c r="AC76">
        <f t="shared" si="77"/>
        <v>287.67</v>
      </c>
      <c r="AD76">
        <f t="shared" si="78"/>
        <v>161.24</v>
      </c>
      <c r="AE76">
        <f t="shared" si="79"/>
        <v>13.5</v>
      </c>
      <c r="AF76">
        <f t="shared" si="80"/>
        <v>571.75</v>
      </c>
      <c r="AG76">
        <f t="shared" si="81"/>
        <v>0</v>
      </c>
      <c r="AH76">
        <f t="shared" si="82"/>
        <v>42.7</v>
      </c>
      <c r="AI76">
        <f t="shared" si="83"/>
        <v>0</v>
      </c>
      <c r="AJ76">
        <f t="shared" si="84"/>
        <v>0</v>
      </c>
      <c r="AK76">
        <v>1020.66</v>
      </c>
      <c r="AL76">
        <v>287.67</v>
      </c>
      <c r="AM76">
        <v>161.24</v>
      </c>
      <c r="AN76">
        <v>13.5</v>
      </c>
      <c r="AO76">
        <v>571.75</v>
      </c>
      <c r="AP76">
        <v>0</v>
      </c>
      <c r="AQ76">
        <v>42.7</v>
      </c>
      <c r="AR76">
        <v>0</v>
      </c>
      <c r="AS76">
        <v>0</v>
      </c>
      <c r="AT76">
        <v>87</v>
      </c>
      <c r="AU76">
        <v>41</v>
      </c>
      <c r="AV76">
        <v>1.0469999999999999</v>
      </c>
      <c r="AW76">
        <v>1</v>
      </c>
      <c r="AZ76">
        <v>1</v>
      </c>
      <c r="BA76">
        <v>28.67</v>
      </c>
      <c r="BB76">
        <v>10.83</v>
      </c>
      <c r="BC76">
        <v>16.7</v>
      </c>
      <c r="BD76" t="s">
        <v>3</v>
      </c>
      <c r="BE76" t="s">
        <v>3</v>
      </c>
      <c r="BF76" t="s">
        <v>3</v>
      </c>
      <c r="BG76" t="s">
        <v>3</v>
      </c>
      <c r="BH76">
        <v>0</v>
      </c>
      <c r="BI76">
        <v>1</v>
      </c>
      <c r="BJ76" t="s">
        <v>33</v>
      </c>
      <c r="BM76">
        <v>61</v>
      </c>
      <c r="BN76">
        <v>0</v>
      </c>
      <c r="BO76" t="s">
        <v>30</v>
      </c>
      <c r="BP76">
        <v>1</v>
      </c>
      <c r="BQ76">
        <v>30</v>
      </c>
      <c r="BR76">
        <v>0</v>
      </c>
      <c r="BS76">
        <v>28.67</v>
      </c>
      <c r="BT76">
        <v>1</v>
      </c>
      <c r="BU76">
        <v>1</v>
      </c>
      <c r="BV76">
        <v>1</v>
      </c>
      <c r="BW76">
        <v>1</v>
      </c>
      <c r="BX76">
        <v>1</v>
      </c>
      <c r="BY76" t="s">
        <v>3</v>
      </c>
      <c r="BZ76">
        <v>87</v>
      </c>
      <c r="CA76">
        <v>41</v>
      </c>
      <c r="CB76" t="s">
        <v>3</v>
      </c>
      <c r="CE76">
        <v>0</v>
      </c>
      <c r="CF76">
        <v>0</v>
      </c>
      <c r="CG76">
        <v>0</v>
      </c>
      <c r="CM76">
        <v>0</v>
      </c>
      <c r="CN76" t="s">
        <v>3</v>
      </c>
      <c r="CO76">
        <v>0</v>
      </c>
      <c r="CP76">
        <f t="shared" si="85"/>
        <v>1546.67</v>
      </c>
      <c r="CQ76">
        <f t="shared" si="86"/>
        <v>4804.0889999999999</v>
      </c>
      <c r="CR76">
        <f t="shared" si="87"/>
        <v>1828.3019724000001</v>
      </c>
      <c r="CS76">
        <f t="shared" si="88"/>
        <v>405.23611499999998</v>
      </c>
      <c r="CT76">
        <f t="shared" si="89"/>
        <v>17162.499907500001</v>
      </c>
      <c r="CU76">
        <f t="shared" si="90"/>
        <v>0</v>
      </c>
      <c r="CV76">
        <f t="shared" si="91"/>
        <v>44.706899999999997</v>
      </c>
      <c r="CW76">
        <f t="shared" si="92"/>
        <v>0</v>
      </c>
      <c r="CX76">
        <f t="shared" si="93"/>
        <v>0</v>
      </c>
      <c r="CY76">
        <f t="shared" si="94"/>
        <v>970.53719999999998</v>
      </c>
      <c r="CZ76">
        <f t="shared" si="95"/>
        <v>457.37959999999993</v>
      </c>
      <c r="DC76" t="s">
        <v>3</v>
      </c>
      <c r="DD76" t="s">
        <v>3</v>
      </c>
      <c r="DE76" t="s">
        <v>3</v>
      </c>
      <c r="DF76" t="s">
        <v>3</v>
      </c>
      <c r="DG76" t="s">
        <v>3</v>
      </c>
      <c r="DH76" t="s">
        <v>3</v>
      </c>
      <c r="DI76" t="s">
        <v>3</v>
      </c>
      <c r="DJ76" t="s">
        <v>3</v>
      </c>
      <c r="DK76" t="s">
        <v>3</v>
      </c>
      <c r="DL76" t="s">
        <v>3</v>
      </c>
      <c r="DM76" t="s">
        <v>3</v>
      </c>
      <c r="DN76">
        <v>105</v>
      </c>
      <c r="DO76">
        <v>77</v>
      </c>
      <c r="DP76">
        <v>1.0469999999999999</v>
      </c>
      <c r="DQ76">
        <v>1</v>
      </c>
      <c r="DU76">
        <v>1013</v>
      </c>
      <c r="DV76" t="s">
        <v>32</v>
      </c>
      <c r="DW76" t="s">
        <v>32</v>
      </c>
      <c r="DX76">
        <v>1</v>
      </c>
      <c r="DZ76" t="s">
        <v>3</v>
      </c>
      <c r="EA76" t="s">
        <v>3</v>
      </c>
      <c r="EB76" t="s">
        <v>3</v>
      </c>
      <c r="EC76" t="s">
        <v>3</v>
      </c>
      <c r="EE76">
        <v>42063665</v>
      </c>
      <c r="EF76">
        <v>30</v>
      </c>
      <c r="EG76" t="s">
        <v>25</v>
      </c>
      <c r="EH76">
        <v>0</v>
      </c>
      <c r="EI76" t="s">
        <v>3</v>
      </c>
      <c r="EJ76">
        <v>1</v>
      </c>
      <c r="EK76">
        <v>61</v>
      </c>
      <c r="EL76" t="s">
        <v>34</v>
      </c>
      <c r="EM76" t="s">
        <v>35</v>
      </c>
      <c r="EO76" t="s">
        <v>3</v>
      </c>
      <c r="EQ76">
        <v>512</v>
      </c>
      <c r="ER76">
        <v>1020.66</v>
      </c>
      <c r="ES76">
        <v>287.67</v>
      </c>
      <c r="ET76">
        <v>161.24</v>
      </c>
      <c r="EU76">
        <v>13.5</v>
      </c>
      <c r="EV76">
        <v>571.75</v>
      </c>
      <c r="EW76">
        <v>42.7</v>
      </c>
      <c r="EX76">
        <v>0</v>
      </c>
      <c r="EY76">
        <v>0</v>
      </c>
      <c r="FQ76">
        <v>0</v>
      </c>
      <c r="FR76">
        <f t="shared" si="96"/>
        <v>0</v>
      </c>
      <c r="FS76">
        <v>0</v>
      </c>
      <c r="FX76">
        <v>105</v>
      </c>
      <c r="FY76">
        <v>77</v>
      </c>
      <c r="GA76" t="s">
        <v>3</v>
      </c>
      <c r="GD76">
        <v>0</v>
      </c>
      <c r="GF76">
        <v>-54838574</v>
      </c>
      <c r="GG76">
        <v>2</v>
      </c>
      <c r="GH76">
        <v>1</v>
      </c>
      <c r="GI76">
        <v>2</v>
      </c>
      <c r="GJ76">
        <v>0</v>
      </c>
      <c r="GK76">
        <f>ROUND(R76*(R12)/100,2)</f>
        <v>42.14</v>
      </c>
      <c r="GL76">
        <f t="shared" si="97"/>
        <v>0</v>
      </c>
      <c r="GM76">
        <f t="shared" si="98"/>
        <v>3016.73</v>
      </c>
      <c r="GN76">
        <f t="shared" si="99"/>
        <v>3016.73</v>
      </c>
      <c r="GO76">
        <f t="shared" si="100"/>
        <v>0</v>
      </c>
      <c r="GP76">
        <f t="shared" si="101"/>
        <v>0</v>
      </c>
      <c r="GR76">
        <v>0</v>
      </c>
      <c r="GS76">
        <v>3</v>
      </c>
      <c r="GT76">
        <v>0</v>
      </c>
      <c r="GU76" t="s">
        <v>3</v>
      </c>
      <c r="GV76">
        <f t="shared" si="102"/>
        <v>0</v>
      </c>
      <c r="GW76">
        <v>1</v>
      </c>
      <c r="GX76">
        <f t="shared" si="103"/>
        <v>0</v>
      </c>
      <c r="HA76">
        <v>0</v>
      </c>
      <c r="HB76">
        <v>0</v>
      </c>
      <c r="HC76">
        <f t="shared" si="104"/>
        <v>0</v>
      </c>
      <c r="HE76" t="s">
        <v>3</v>
      </c>
      <c r="HF76" t="s">
        <v>3</v>
      </c>
      <c r="HM76" t="s">
        <v>3</v>
      </c>
      <c r="HN76" t="s">
        <v>3</v>
      </c>
      <c r="HO76" t="s">
        <v>3</v>
      </c>
      <c r="HP76" t="s">
        <v>3</v>
      </c>
      <c r="HQ76" t="s">
        <v>3</v>
      </c>
      <c r="IK76">
        <v>0</v>
      </c>
    </row>
    <row r="77" spans="1:245" x14ac:dyDescent="0.2">
      <c r="A77">
        <v>18</v>
      </c>
      <c r="B77">
        <v>1</v>
      </c>
      <c r="C77">
        <v>37</v>
      </c>
      <c r="E77" t="s">
        <v>153</v>
      </c>
      <c r="F77" t="s">
        <v>154</v>
      </c>
      <c r="G77" t="s">
        <v>155</v>
      </c>
      <c r="H77" t="s">
        <v>64</v>
      </c>
      <c r="I77">
        <f>I76*J77</f>
        <v>6.5000000000000002E-2</v>
      </c>
      <c r="J77">
        <v>1</v>
      </c>
      <c r="K77">
        <v>1</v>
      </c>
      <c r="O77">
        <f t="shared" si="65"/>
        <v>1592.77</v>
      </c>
      <c r="P77">
        <f t="shared" si="66"/>
        <v>1592.77</v>
      </c>
      <c r="Q77">
        <f t="shared" si="67"/>
        <v>0</v>
      </c>
      <c r="R77">
        <f t="shared" si="68"/>
        <v>0</v>
      </c>
      <c r="S77">
        <f t="shared" si="69"/>
        <v>0</v>
      </c>
      <c r="T77">
        <f t="shared" si="70"/>
        <v>0</v>
      </c>
      <c r="U77">
        <f t="shared" si="71"/>
        <v>0</v>
      </c>
      <c r="V77">
        <f t="shared" si="72"/>
        <v>0</v>
      </c>
      <c r="W77">
        <f t="shared" si="73"/>
        <v>0</v>
      </c>
      <c r="X77">
        <f t="shared" si="74"/>
        <v>0</v>
      </c>
      <c r="Y77">
        <f t="shared" si="75"/>
        <v>0</v>
      </c>
      <c r="AA77">
        <v>59267179</v>
      </c>
      <c r="AB77">
        <f t="shared" si="76"/>
        <v>7879.13</v>
      </c>
      <c r="AC77">
        <f t="shared" si="77"/>
        <v>7879.13</v>
      </c>
      <c r="AD77">
        <f t="shared" si="78"/>
        <v>0</v>
      </c>
      <c r="AE77">
        <f t="shared" si="79"/>
        <v>0</v>
      </c>
      <c r="AF77">
        <f t="shared" si="80"/>
        <v>0</v>
      </c>
      <c r="AG77">
        <f t="shared" si="81"/>
        <v>0</v>
      </c>
      <c r="AH77">
        <f t="shared" si="82"/>
        <v>0</v>
      </c>
      <c r="AI77">
        <f t="shared" si="83"/>
        <v>0</v>
      </c>
      <c r="AJ77">
        <f t="shared" si="84"/>
        <v>0</v>
      </c>
      <c r="AK77">
        <v>7879.13</v>
      </c>
      <c r="AL77">
        <v>7879.13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1</v>
      </c>
      <c r="AW77">
        <v>1</v>
      </c>
      <c r="AZ77">
        <v>1</v>
      </c>
      <c r="BA77">
        <v>1</v>
      </c>
      <c r="BB77">
        <v>1</v>
      </c>
      <c r="BC77">
        <v>3.11</v>
      </c>
      <c r="BD77" t="s">
        <v>3</v>
      </c>
      <c r="BE77" t="s">
        <v>3</v>
      </c>
      <c r="BF77" t="s">
        <v>3</v>
      </c>
      <c r="BG77" t="s">
        <v>3</v>
      </c>
      <c r="BH77">
        <v>3</v>
      </c>
      <c r="BI77">
        <v>1</v>
      </c>
      <c r="BJ77" t="s">
        <v>156</v>
      </c>
      <c r="BM77">
        <v>61</v>
      </c>
      <c r="BN77">
        <v>0</v>
      </c>
      <c r="BO77" t="s">
        <v>154</v>
      </c>
      <c r="BP77">
        <v>1</v>
      </c>
      <c r="BQ77">
        <v>30</v>
      </c>
      <c r="BR77">
        <v>0</v>
      </c>
      <c r="BS77">
        <v>1</v>
      </c>
      <c r="BT77">
        <v>1</v>
      </c>
      <c r="BU77">
        <v>1</v>
      </c>
      <c r="BV77">
        <v>1</v>
      </c>
      <c r="BW77">
        <v>1</v>
      </c>
      <c r="BX77">
        <v>1</v>
      </c>
      <c r="BY77" t="s">
        <v>3</v>
      </c>
      <c r="BZ77">
        <v>0</v>
      </c>
      <c r="CA77">
        <v>0</v>
      </c>
      <c r="CB77" t="s">
        <v>3</v>
      </c>
      <c r="CE77">
        <v>0</v>
      </c>
      <c r="CF77">
        <v>0</v>
      </c>
      <c r="CG77">
        <v>0</v>
      </c>
      <c r="CM77">
        <v>0</v>
      </c>
      <c r="CN77" t="s">
        <v>3</v>
      </c>
      <c r="CO77">
        <v>0</v>
      </c>
      <c r="CP77">
        <f t="shared" si="85"/>
        <v>1592.77</v>
      </c>
      <c r="CQ77">
        <f t="shared" si="86"/>
        <v>24504.094300000001</v>
      </c>
      <c r="CR77">
        <f t="shared" si="87"/>
        <v>0</v>
      </c>
      <c r="CS77">
        <f t="shared" si="88"/>
        <v>0</v>
      </c>
      <c r="CT77">
        <f t="shared" si="89"/>
        <v>0</v>
      </c>
      <c r="CU77">
        <f t="shared" si="90"/>
        <v>0</v>
      </c>
      <c r="CV77">
        <f t="shared" si="91"/>
        <v>0</v>
      </c>
      <c r="CW77">
        <f t="shared" si="92"/>
        <v>0</v>
      </c>
      <c r="CX77">
        <f t="shared" si="93"/>
        <v>0</v>
      </c>
      <c r="CY77">
        <f t="shared" si="94"/>
        <v>0</v>
      </c>
      <c r="CZ77">
        <f t="shared" si="95"/>
        <v>0</v>
      </c>
      <c r="DC77" t="s">
        <v>3</v>
      </c>
      <c r="DD77" t="s">
        <v>3</v>
      </c>
      <c r="DE77" t="s">
        <v>3</v>
      </c>
      <c r="DF77" t="s">
        <v>3</v>
      </c>
      <c r="DG77" t="s">
        <v>3</v>
      </c>
      <c r="DH77" t="s">
        <v>3</v>
      </c>
      <c r="DI77" t="s">
        <v>3</v>
      </c>
      <c r="DJ77" t="s">
        <v>3</v>
      </c>
      <c r="DK77" t="s">
        <v>3</v>
      </c>
      <c r="DL77" t="s">
        <v>3</v>
      </c>
      <c r="DM77" t="s">
        <v>3</v>
      </c>
      <c r="DN77">
        <v>105</v>
      </c>
      <c r="DO77">
        <v>77</v>
      </c>
      <c r="DP77">
        <v>1.0469999999999999</v>
      </c>
      <c r="DQ77">
        <v>1</v>
      </c>
      <c r="DU77">
        <v>1009</v>
      </c>
      <c r="DV77" t="s">
        <v>64</v>
      </c>
      <c r="DW77" t="s">
        <v>64</v>
      </c>
      <c r="DX77">
        <v>1000</v>
      </c>
      <c r="DZ77" t="s">
        <v>3</v>
      </c>
      <c r="EA77" t="s">
        <v>3</v>
      </c>
      <c r="EB77" t="s">
        <v>3</v>
      </c>
      <c r="EC77" t="s">
        <v>3</v>
      </c>
      <c r="EE77">
        <v>42063665</v>
      </c>
      <c r="EF77">
        <v>30</v>
      </c>
      <c r="EG77" t="s">
        <v>25</v>
      </c>
      <c r="EH77">
        <v>0</v>
      </c>
      <c r="EI77" t="s">
        <v>3</v>
      </c>
      <c r="EJ77">
        <v>1</v>
      </c>
      <c r="EK77">
        <v>61</v>
      </c>
      <c r="EL77" t="s">
        <v>34</v>
      </c>
      <c r="EM77" t="s">
        <v>35</v>
      </c>
      <c r="EO77" t="s">
        <v>3</v>
      </c>
      <c r="EQ77">
        <v>0</v>
      </c>
      <c r="ER77">
        <v>7879.13</v>
      </c>
      <c r="ES77">
        <v>7879.13</v>
      </c>
      <c r="ET77">
        <v>0</v>
      </c>
      <c r="EU77">
        <v>0</v>
      </c>
      <c r="EV77">
        <v>0</v>
      </c>
      <c r="EW77">
        <v>0</v>
      </c>
      <c r="EX77">
        <v>0</v>
      </c>
      <c r="FQ77">
        <v>0</v>
      </c>
      <c r="FR77">
        <f t="shared" si="96"/>
        <v>0</v>
      </c>
      <c r="FS77">
        <v>0</v>
      </c>
      <c r="FX77">
        <v>105</v>
      </c>
      <c r="FY77">
        <v>77</v>
      </c>
      <c r="GA77" t="s">
        <v>3</v>
      </c>
      <c r="GD77">
        <v>0</v>
      </c>
      <c r="GF77">
        <v>-317801489</v>
      </c>
      <c r="GG77">
        <v>2</v>
      </c>
      <c r="GH77">
        <v>1</v>
      </c>
      <c r="GI77">
        <v>2</v>
      </c>
      <c r="GJ77">
        <v>0</v>
      </c>
      <c r="GK77">
        <f>ROUND(R77*(R12)/100,2)</f>
        <v>0</v>
      </c>
      <c r="GL77">
        <f t="shared" si="97"/>
        <v>0</v>
      </c>
      <c r="GM77">
        <f t="shared" si="98"/>
        <v>1592.77</v>
      </c>
      <c r="GN77">
        <f t="shared" si="99"/>
        <v>1592.77</v>
      </c>
      <c r="GO77">
        <f t="shared" si="100"/>
        <v>0</v>
      </c>
      <c r="GP77">
        <f t="shared" si="101"/>
        <v>0</v>
      </c>
      <c r="GR77">
        <v>0</v>
      </c>
      <c r="GS77">
        <v>3</v>
      </c>
      <c r="GT77">
        <v>0</v>
      </c>
      <c r="GU77" t="s">
        <v>3</v>
      </c>
      <c r="GV77">
        <f t="shared" si="102"/>
        <v>0</v>
      </c>
      <c r="GW77">
        <v>1</v>
      </c>
      <c r="GX77">
        <f t="shared" si="103"/>
        <v>0</v>
      </c>
      <c r="HA77">
        <v>0</v>
      </c>
      <c r="HB77">
        <v>0</v>
      </c>
      <c r="HC77">
        <f t="shared" si="104"/>
        <v>0</v>
      </c>
      <c r="HE77" t="s">
        <v>3</v>
      </c>
      <c r="HF77" t="s">
        <v>3</v>
      </c>
      <c r="HM77" t="s">
        <v>3</v>
      </c>
      <c r="HN77" t="s">
        <v>3</v>
      </c>
      <c r="HO77" t="s">
        <v>3</v>
      </c>
      <c r="HP77" t="s">
        <v>3</v>
      </c>
      <c r="HQ77" t="s">
        <v>3</v>
      </c>
      <c r="IK77">
        <v>0</v>
      </c>
    </row>
    <row r="78" spans="1:245" x14ac:dyDescent="0.2">
      <c r="A78">
        <v>17</v>
      </c>
      <c r="B78">
        <v>1</v>
      </c>
      <c r="C78">
        <f>ROW(SmtRes!A43)</f>
        <v>43</v>
      </c>
      <c r="D78">
        <f>ROW(EtalonRes!A39)</f>
        <v>39</v>
      </c>
      <c r="E78" t="s">
        <v>157</v>
      </c>
      <c r="F78" t="s">
        <v>158</v>
      </c>
      <c r="G78" t="s">
        <v>159</v>
      </c>
      <c r="H78" t="s">
        <v>160</v>
      </c>
      <c r="I78">
        <v>0.1852</v>
      </c>
      <c r="J78">
        <v>0</v>
      </c>
      <c r="K78">
        <v>0.1852</v>
      </c>
      <c r="O78">
        <f t="shared" si="65"/>
        <v>1338.03</v>
      </c>
      <c r="P78">
        <f t="shared" si="66"/>
        <v>584.59</v>
      </c>
      <c r="Q78">
        <f t="shared" si="67"/>
        <v>50.59</v>
      </c>
      <c r="R78">
        <f t="shared" si="68"/>
        <v>0.21</v>
      </c>
      <c r="S78">
        <f t="shared" si="69"/>
        <v>702.85</v>
      </c>
      <c r="T78">
        <f t="shared" si="70"/>
        <v>0</v>
      </c>
      <c r="U78">
        <f t="shared" si="71"/>
        <v>1.3131050399999999</v>
      </c>
      <c r="V78">
        <f t="shared" si="72"/>
        <v>0</v>
      </c>
      <c r="W78">
        <f t="shared" si="73"/>
        <v>0</v>
      </c>
      <c r="X78">
        <f t="shared" si="74"/>
        <v>878.56</v>
      </c>
      <c r="Y78">
        <f t="shared" si="75"/>
        <v>365.48</v>
      </c>
      <c r="AA78">
        <v>59267179</v>
      </c>
      <c r="AB78">
        <f t="shared" si="76"/>
        <v>814.03</v>
      </c>
      <c r="AC78">
        <f t="shared" si="77"/>
        <v>655.20000000000005</v>
      </c>
      <c r="AD78">
        <f t="shared" si="78"/>
        <v>27.77</v>
      </c>
      <c r="AE78">
        <f t="shared" si="79"/>
        <v>0.04</v>
      </c>
      <c r="AF78">
        <f t="shared" si="80"/>
        <v>131.06</v>
      </c>
      <c r="AG78">
        <f t="shared" si="81"/>
        <v>0</v>
      </c>
      <c r="AH78">
        <f t="shared" si="82"/>
        <v>7.02</v>
      </c>
      <c r="AI78">
        <f t="shared" si="83"/>
        <v>0</v>
      </c>
      <c r="AJ78">
        <f t="shared" si="84"/>
        <v>0</v>
      </c>
      <c r="AK78">
        <v>814.03</v>
      </c>
      <c r="AL78">
        <v>655.20000000000005</v>
      </c>
      <c r="AM78">
        <v>27.77</v>
      </c>
      <c r="AN78">
        <v>0.04</v>
      </c>
      <c r="AO78">
        <v>131.06</v>
      </c>
      <c r="AP78">
        <v>0</v>
      </c>
      <c r="AQ78">
        <v>7.02</v>
      </c>
      <c r="AR78">
        <v>0</v>
      </c>
      <c r="AS78">
        <v>0</v>
      </c>
      <c r="AT78">
        <v>125</v>
      </c>
      <c r="AU78">
        <v>52</v>
      </c>
      <c r="AV78">
        <v>1.01</v>
      </c>
      <c r="AW78">
        <v>1.01</v>
      </c>
      <c r="AZ78">
        <v>1</v>
      </c>
      <c r="BA78">
        <v>28.67</v>
      </c>
      <c r="BB78">
        <v>9.74</v>
      </c>
      <c r="BC78">
        <v>4.7699999999999996</v>
      </c>
      <c r="BD78" t="s">
        <v>3</v>
      </c>
      <c r="BE78" t="s">
        <v>3</v>
      </c>
      <c r="BF78" t="s">
        <v>3</v>
      </c>
      <c r="BG78" t="s">
        <v>3</v>
      </c>
      <c r="BH78">
        <v>0</v>
      </c>
      <c r="BI78">
        <v>1</v>
      </c>
      <c r="BJ78" t="s">
        <v>161</v>
      </c>
      <c r="BM78">
        <v>1867</v>
      </c>
      <c r="BN78">
        <v>0</v>
      </c>
      <c r="BO78" t="s">
        <v>158</v>
      </c>
      <c r="BP78">
        <v>1</v>
      </c>
      <c r="BQ78">
        <v>30</v>
      </c>
      <c r="BR78">
        <v>0</v>
      </c>
      <c r="BS78">
        <v>28.67</v>
      </c>
      <c r="BT78">
        <v>1</v>
      </c>
      <c r="BU78">
        <v>1</v>
      </c>
      <c r="BV78">
        <v>1</v>
      </c>
      <c r="BW78">
        <v>1</v>
      </c>
      <c r="BX78">
        <v>1</v>
      </c>
      <c r="BY78" t="s">
        <v>3</v>
      </c>
      <c r="BZ78">
        <v>125</v>
      </c>
      <c r="CA78">
        <v>52</v>
      </c>
      <c r="CB78" t="s">
        <v>3</v>
      </c>
      <c r="CE78">
        <v>0</v>
      </c>
      <c r="CF78">
        <v>0</v>
      </c>
      <c r="CG78">
        <v>0</v>
      </c>
      <c r="CM78">
        <v>0</v>
      </c>
      <c r="CN78" t="s">
        <v>3</v>
      </c>
      <c r="CO78">
        <v>0</v>
      </c>
      <c r="CP78">
        <f t="shared" si="85"/>
        <v>1338.0300000000002</v>
      </c>
      <c r="CQ78">
        <f t="shared" si="86"/>
        <v>3156.5570400000001</v>
      </c>
      <c r="CR78">
        <f t="shared" si="87"/>
        <v>273.18459799999999</v>
      </c>
      <c r="CS78">
        <f t="shared" si="88"/>
        <v>1.1582680000000001</v>
      </c>
      <c r="CT78">
        <f t="shared" si="89"/>
        <v>3795.065102</v>
      </c>
      <c r="CU78">
        <f t="shared" si="90"/>
        <v>0</v>
      </c>
      <c r="CV78">
        <f t="shared" si="91"/>
        <v>7.0901999999999994</v>
      </c>
      <c r="CW78">
        <f t="shared" si="92"/>
        <v>0</v>
      </c>
      <c r="CX78">
        <f t="shared" si="93"/>
        <v>0</v>
      </c>
      <c r="CY78">
        <f t="shared" si="94"/>
        <v>878.5625</v>
      </c>
      <c r="CZ78">
        <f t="shared" si="95"/>
        <v>365.48200000000003</v>
      </c>
      <c r="DC78" t="s">
        <v>3</v>
      </c>
      <c r="DD78" t="s">
        <v>3</v>
      </c>
      <c r="DE78" t="s">
        <v>3</v>
      </c>
      <c r="DF78" t="s">
        <v>3</v>
      </c>
      <c r="DG78" t="s">
        <v>3</v>
      </c>
      <c r="DH78" t="s">
        <v>3</v>
      </c>
      <c r="DI78" t="s">
        <v>3</v>
      </c>
      <c r="DJ78" t="s">
        <v>3</v>
      </c>
      <c r="DK78" t="s">
        <v>3</v>
      </c>
      <c r="DL78" t="s">
        <v>3</v>
      </c>
      <c r="DM78" t="s">
        <v>3</v>
      </c>
      <c r="DN78">
        <v>131</v>
      </c>
      <c r="DO78">
        <v>134</v>
      </c>
      <c r="DP78">
        <v>1.01</v>
      </c>
      <c r="DQ78">
        <v>1.01</v>
      </c>
      <c r="DU78">
        <v>1013</v>
      </c>
      <c r="DV78" t="s">
        <v>160</v>
      </c>
      <c r="DW78" t="s">
        <v>160</v>
      </c>
      <c r="DX78">
        <v>1</v>
      </c>
      <c r="DZ78" t="s">
        <v>3</v>
      </c>
      <c r="EA78" t="s">
        <v>3</v>
      </c>
      <c r="EB78" t="s">
        <v>3</v>
      </c>
      <c r="EC78" t="s">
        <v>3</v>
      </c>
      <c r="EE78">
        <v>42065472</v>
      </c>
      <c r="EF78">
        <v>30</v>
      </c>
      <c r="EG78" t="s">
        <v>25</v>
      </c>
      <c r="EH78">
        <v>0</v>
      </c>
      <c r="EI78" t="s">
        <v>3</v>
      </c>
      <c r="EJ78">
        <v>1</v>
      </c>
      <c r="EK78">
        <v>1867</v>
      </c>
      <c r="EL78" t="s">
        <v>162</v>
      </c>
      <c r="EM78" t="s">
        <v>163</v>
      </c>
      <c r="EO78" t="s">
        <v>3</v>
      </c>
      <c r="EQ78">
        <v>0</v>
      </c>
      <c r="ER78">
        <v>814.03</v>
      </c>
      <c r="ES78">
        <v>655.20000000000005</v>
      </c>
      <c r="ET78">
        <v>27.77</v>
      </c>
      <c r="EU78">
        <v>0.04</v>
      </c>
      <c r="EV78">
        <v>131.06</v>
      </c>
      <c r="EW78">
        <v>7.02</v>
      </c>
      <c r="EX78">
        <v>0</v>
      </c>
      <c r="EY78">
        <v>0</v>
      </c>
      <c r="FQ78">
        <v>0</v>
      </c>
      <c r="FR78">
        <f t="shared" si="96"/>
        <v>0</v>
      </c>
      <c r="FS78">
        <v>0</v>
      </c>
      <c r="FX78">
        <v>131</v>
      </c>
      <c r="FY78">
        <v>134</v>
      </c>
      <c r="GA78" t="s">
        <v>3</v>
      </c>
      <c r="GD78">
        <v>0</v>
      </c>
      <c r="GF78">
        <v>173349024</v>
      </c>
      <c r="GG78">
        <v>2</v>
      </c>
      <c r="GH78">
        <v>1</v>
      </c>
      <c r="GI78">
        <v>2</v>
      </c>
      <c r="GJ78">
        <v>0</v>
      </c>
      <c r="GK78">
        <f>ROUND(R78*(R12)/100,2)</f>
        <v>0.34</v>
      </c>
      <c r="GL78">
        <f t="shared" si="97"/>
        <v>0</v>
      </c>
      <c r="GM78">
        <f t="shared" si="98"/>
        <v>2582.41</v>
      </c>
      <c r="GN78">
        <f t="shared" si="99"/>
        <v>2582.41</v>
      </c>
      <c r="GO78">
        <f t="shared" si="100"/>
        <v>0</v>
      </c>
      <c r="GP78">
        <f t="shared" si="101"/>
        <v>0</v>
      </c>
      <c r="GR78">
        <v>0</v>
      </c>
      <c r="GS78">
        <v>3</v>
      </c>
      <c r="GT78">
        <v>0</v>
      </c>
      <c r="GU78" t="s">
        <v>3</v>
      </c>
      <c r="GV78">
        <f t="shared" si="102"/>
        <v>0</v>
      </c>
      <c r="GW78">
        <v>1</v>
      </c>
      <c r="GX78">
        <f t="shared" si="103"/>
        <v>0</v>
      </c>
      <c r="HA78">
        <v>0</v>
      </c>
      <c r="HB78">
        <v>0</v>
      </c>
      <c r="HC78">
        <f t="shared" si="104"/>
        <v>0</v>
      </c>
      <c r="HE78" t="s">
        <v>3</v>
      </c>
      <c r="HF78" t="s">
        <v>3</v>
      </c>
      <c r="HM78" t="s">
        <v>3</v>
      </c>
      <c r="HN78" t="s">
        <v>3</v>
      </c>
      <c r="HO78" t="s">
        <v>3</v>
      </c>
      <c r="HP78" t="s">
        <v>3</v>
      </c>
      <c r="HQ78" t="s">
        <v>3</v>
      </c>
      <c r="IK78">
        <v>0</v>
      </c>
    </row>
    <row r="79" spans="1:245" x14ac:dyDescent="0.2">
      <c r="A79">
        <v>19</v>
      </c>
      <c r="B79">
        <v>1</v>
      </c>
      <c r="F79" t="s">
        <v>3</v>
      </c>
      <c r="G79" t="s">
        <v>42</v>
      </c>
      <c r="H79" t="s">
        <v>3</v>
      </c>
      <c r="AA79">
        <v>1</v>
      </c>
      <c r="IK79">
        <v>0</v>
      </c>
    </row>
    <row r="80" spans="1:245" x14ac:dyDescent="0.2">
      <c r="A80">
        <v>17</v>
      </c>
      <c r="B80">
        <v>1</v>
      </c>
      <c r="C80">
        <f>ROW(SmtRes!A44)</f>
        <v>44</v>
      </c>
      <c r="D80">
        <f>ROW(EtalonRes!A40)</f>
        <v>40</v>
      </c>
      <c r="E80" t="s">
        <v>164</v>
      </c>
      <c r="F80" t="s">
        <v>165</v>
      </c>
      <c r="G80" t="s">
        <v>166</v>
      </c>
      <c r="H80" t="s">
        <v>39</v>
      </c>
      <c r="I80">
        <v>1</v>
      </c>
      <c r="J80">
        <v>0</v>
      </c>
      <c r="K80">
        <v>1</v>
      </c>
      <c r="O80">
        <f>ROUND(CP80,2)</f>
        <v>19021.310000000001</v>
      </c>
      <c r="P80">
        <f>ROUND(CQ80*I80,2)</f>
        <v>888.27</v>
      </c>
      <c r="Q80">
        <f>ROUND(CR80*I80,2)</f>
        <v>3148.63</v>
      </c>
      <c r="R80">
        <f>ROUND(CS80*I80,2)</f>
        <v>1411.74</v>
      </c>
      <c r="S80">
        <f>ROUND(CT80*I80,2)</f>
        <v>14984.41</v>
      </c>
      <c r="T80">
        <f>ROUND(CU80*I80,2)</f>
        <v>0</v>
      </c>
      <c r="U80">
        <f>CV80*I80</f>
        <v>41.414700000000003</v>
      </c>
      <c r="V80">
        <f>CW80*I80</f>
        <v>0</v>
      </c>
      <c r="W80">
        <f>ROUND(CX80*I80,2)</f>
        <v>0</v>
      </c>
      <c r="X80">
        <f>ROUND(CY80,2)</f>
        <v>13785.66</v>
      </c>
      <c r="Y80">
        <f>ROUND(CZ80,2)</f>
        <v>6443.3</v>
      </c>
      <c r="AA80">
        <v>59267179</v>
      </c>
      <c r="AB80">
        <f>ROUND((AC80+AD80+AF80),6)</f>
        <v>847.71</v>
      </c>
      <c r="AC80">
        <f t="shared" ref="AC80:AF81" si="105">ROUND((ES80),6)</f>
        <v>107.8</v>
      </c>
      <c r="AD80">
        <f t="shared" si="105"/>
        <v>259.08999999999997</v>
      </c>
      <c r="AE80">
        <f t="shared" si="105"/>
        <v>45.3</v>
      </c>
      <c r="AF80">
        <f t="shared" si="105"/>
        <v>480.82</v>
      </c>
      <c r="AG80">
        <f>ROUND((AP80),6)</f>
        <v>0</v>
      </c>
      <c r="AH80">
        <f>(EW80)</f>
        <v>38.1</v>
      </c>
      <c r="AI80">
        <f>(EX80)</f>
        <v>0</v>
      </c>
      <c r="AJ80">
        <f>(AS80)</f>
        <v>0</v>
      </c>
      <c r="AK80">
        <v>847.71</v>
      </c>
      <c r="AL80">
        <v>107.8</v>
      </c>
      <c r="AM80">
        <v>259.08999999999997</v>
      </c>
      <c r="AN80">
        <v>45.3</v>
      </c>
      <c r="AO80">
        <v>480.82</v>
      </c>
      <c r="AP80">
        <v>0</v>
      </c>
      <c r="AQ80">
        <v>38.1</v>
      </c>
      <c r="AR80">
        <v>0</v>
      </c>
      <c r="AS80">
        <v>0</v>
      </c>
      <c r="AT80">
        <v>92</v>
      </c>
      <c r="AU80">
        <v>43</v>
      </c>
      <c r="AV80">
        <v>1.087</v>
      </c>
      <c r="AW80">
        <v>1</v>
      </c>
      <c r="AZ80">
        <v>1</v>
      </c>
      <c r="BA80">
        <v>28.67</v>
      </c>
      <c r="BB80">
        <v>11.18</v>
      </c>
      <c r="BC80">
        <v>8.24</v>
      </c>
      <c r="BD80" t="s">
        <v>3</v>
      </c>
      <c r="BE80" t="s">
        <v>3</v>
      </c>
      <c r="BF80" t="s">
        <v>3</v>
      </c>
      <c r="BG80" t="s">
        <v>3</v>
      </c>
      <c r="BH80">
        <v>0</v>
      </c>
      <c r="BI80">
        <v>2</v>
      </c>
      <c r="BJ80" t="s">
        <v>167</v>
      </c>
      <c r="BM80">
        <v>316</v>
      </c>
      <c r="BN80">
        <v>0</v>
      </c>
      <c r="BO80" t="s">
        <v>165</v>
      </c>
      <c r="BP80">
        <v>1</v>
      </c>
      <c r="BQ80">
        <v>40</v>
      </c>
      <c r="BR80">
        <v>0</v>
      </c>
      <c r="BS80">
        <v>28.67</v>
      </c>
      <c r="BT80">
        <v>1</v>
      </c>
      <c r="BU80">
        <v>1</v>
      </c>
      <c r="BV80">
        <v>1</v>
      </c>
      <c r="BW80">
        <v>1</v>
      </c>
      <c r="BX80">
        <v>1</v>
      </c>
      <c r="BY80" t="s">
        <v>3</v>
      </c>
      <c r="BZ80">
        <v>92</v>
      </c>
      <c r="CA80">
        <v>43</v>
      </c>
      <c r="CB80" t="s">
        <v>3</v>
      </c>
      <c r="CE80">
        <v>0</v>
      </c>
      <c r="CF80">
        <v>0</v>
      </c>
      <c r="CG80">
        <v>0</v>
      </c>
      <c r="CM80">
        <v>0</v>
      </c>
      <c r="CN80" t="s">
        <v>3</v>
      </c>
      <c r="CO80">
        <v>0</v>
      </c>
      <c r="CP80">
        <f>(P80+Q80+S80)</f>
        <v>19021.310000000001</v>
      </c>
      <c r="CQ80">
        <f>(AC80*BC80*AW80)</f>
        <v>888.27200000000005</v>
      </c>
      <c r="CR80">
        <f>(AD80*BB80*AV80)</f>
        <v>3148.6326793999997</v>
      </c>
      <c r="CS80">
        <f>(AE80*BS80*AV80)</f>
        <v>1411.7423369999999</v>
      </c>
      <c r="CT80">
        <f>(AF80*BA80*AV80)</f>
        <v>14984.4139178</v>
      </c>
      <c r="CU80">
        <f>AG80</f>
        <v>0</v>
      </c>
      <c r="CV80">
        <f>(AH80*AV80)</f>
        <v>41.414700000000003</v>
      </c>
      <c r="CW80">
        <f>AI80</f>
        <v>0</v>
      </c>
      <c r="CX80">
        <f>AJ80</f>
        <v>0</v>
      </c>
      <c r="CY80">
        <f>S80*(BZ80/100)</f>
        <v>13785.6572</v>
      </c>
      <c r="CZ80">
        <f>S80*(CA80/100)</f>
        <v>6443.2963</v>
      </c>
      <c r="DC80" t="s">
        <v>3</v>
      </c>
      <c r="DD80" t="s">
        <v>3</v>
      </c>
      <c r="DE80" t="s">
        <v>3</v>
      </c>
      <c r="DF80" t="s">
        <v>3</v>
      </c>
      <c r="DG80" t="s">
        <v>3</v>
      </c>
      <c r="DH80" t="s">
        <v>3</v>
      </c>
      <c r="DI80" t="s">
        <v>3</v>
      </c>
      <c r="DJ80" t="s">
        <v>3</v>
      </c>
      <c r="DK80" t="s">
        <v>3</v>
      </c>
      <c r="DL80" t="s">
        <v>3</v>
      </c>
      <c r="DM80" t="s">
        <v>3</v>
      </c>
      <c r="DN80">
        <v>112</v>
      </c>
      <c r="DO80">
        <v>70</v>
      </c>
      <c r="DP80">
        <v>1.087</v>
      </c>
      <c r="DQ80">
        <v>1</v>
      </c>
      <c r="DU80">
        <v>1013</v>
      </c>
      <c r="DV80" t="s">
        <v>39</v>
      </c>
      <c r="DW80" t="s">
        <v>39</v>
      </c>
      <c r="DX80">
        <v>1</v>
      </c>
      <c r="DZ80" t="s">
        <v>3</v>
      </c>
      <c r="EA80" t="s">
        <v>3</v>
      </c>
      <c r="EB80" t="s">
        <v>3</v>
      </c>
      <c r="EC80" t="s">
        <v>3</v>
      </c>
      <c r="EE80">
        <v>42063920</v>
      </c>
      <c r="EF80">
        <v>40</v>
      </c>
      <c r="EG80" t="s">
        <v>42</v>
      </c>
      <c r="EH80">
        <v>0</v>
      </c>
      <c r="EI80" t="s">
        <v>3</v>
      </c>
      <c r="EJ80">
        <v>2</v>
      </c>
      <c r="EK80">
        <v>316</v>
      </c>
      <c r="EL80" t="s">
        <v>43</v>
      </c>
      <c r="EM80" t="s">
        <v>44</v>
      </c>
      <c r="EO80" t="s">
        <v>3</v>
      </c>
      <c r="EQ80">
        <v>0</v>
      </c>
      <c r="ER80">
        <v>847.71</v>
      </c>
      <c r="ES80">
        <v>107.8</v>
      </c>
      <c r="ET80">
        <v>259.08999999999997</v>
      </c>
      <c r="EU80">
        <v>45.3</v>
      </c>
      <c r="EV80">
        <v>480.82</v>
      </c>
      <c r="EW80">
        <v>38.1</v>
      </c>
      <c r="EX80">
        <v>0</v>
      </c>
      <c r="EY80">
        <v>0</v>
      </c>
      <c r="FQ80">
        <v>0</v>
      </c>
      <c r="FR80">
        <f>ROUND(IF(AND(BH80=3,BI80=3),P80,0),2)</f>
        <v>0</v>
      </c>
      <c r="FS80">
        <v>0</v>
      </c>
      <c r="FX80">
        <v>112</v>
      </c>
      <c r="FY80">
        <v>70</v>
      </c>
      <c r="GA80" t="s">
        <v>3</v>
      </c>
      <c r="GD80">
        <v>0</v>
      </c>
      <c r="GF80">
        <v>-1018646635</v>
      </c>
      <c r="GG80">
        <v>2</v>
      </c>
      <c r="GH80">
        <v>1</v>
      </c>
      <c r="GI80">
        <v>2</v>
      </c>
      <c r="GJ80">
        <v>0</v>
      </c>
      <c r="GK80">
        <f>ROUND(R80*(R12)/100,2)</f>
        <v>2258.7800000000002</v>
      </c>
      <c r="GL80">
        <f>ROUND(IF(AND(BH80=3,BI80=3,FS80&lt;&gt;0),P80,0),2)</f>
        <v>0</v>
      </c>
      <c r="GM80">
        <f>ROUND(O80+X80+Y80+GK80,2)+GX80</f>
        <v>41509.050000000003</v>
      </c>
      <c r="GN80">
        <f>IF(OR(BI80=0,BI80=1),ROUND(O80+X80+Y80+GK80,2),0)</f>
        <v>0</v>
      </c>
      <c r="GO80">
        <f>IF(BI80=2,ROUND(O80+X80+Y80+GK80,2),0)</f>
        <v>41509.050000000003</v>
      </c>
      <c r="GP80">
        <f>IF(BI80=4,ROUND(O80+X80+Y80+GK80,2)+GX80,0)</f>
        <v>0</v>
      </c>
      <c r="GR80">
        <v>0</v>
      </c>
      <c r="GS80">
        <v>3</v>
      </c>
      <c r="GT80">
        <v>0</v>
      </c>
      <c r="GU80" t="s">
        <v>3</v>
      </c>
      <c r="GV80">
        <f>ROUND((GT80),6)</f>
        <v>0</v>
      </c>
      <c r="GW80">
        <v>1</v>
      </c>
      <c r="GX80">
        <f>ROUND(HC80*I80,2)</f>
        <v>0</v>
      </c>
      <c r="HA80">
        <v>0</v>
      </c>
      <c r="HB80">
        <v>0</v>
      </c>
      <c r="HC80">
        <f>GV80*GW80</f>
        <v>0</v>
      </c>
      <c r="HE80" t="s">
        <v>3</v>
      </c>
      <c r="HF80" t="s">
        <v>3</v>
      </c>
      <c r="HM80" t="s">
        <v>3</v>
      </c>
      <c r="HN80" t="s">
        <v>3</v>
      </c>
      <c r="HO80" t="s">
        <v>3</v>
      </c>
      <c r="HP80" t="s">
        <v>3</v>
      </c>
      <c r="HQ80" t="s">
        <v>3</v>
      </c>
      <c r="IK80">
        <v>0</v>
      </c>
    </row>
    <row r="81" spans="1:245" x14ac:dyDescent="0.2">
      <c r="A81">
        <v>17</v>
      </c>
      <c r="B81">
        <v>1</v>
      </c>
      <c r="C81">
        <f>ROW(SmtRes!A45)</f>
        <v>45</v>
      </c>
      <c r="D81">
        <f>ROW(EtalonRes!A41)</f>
        <v>41</v>
      </c>
      <c r="E81" t="s">
        <v>168</v>
      </c>
      <c r="F81" t="s">
        <v>47</v>
      </c>
      <c r="G81" t="s">
        <v>169</v>
      </c>
      <c r="H81" t="s">
        <v>49</v>
      </c>
      <c r="I81">
        <v>1</v>
      </c>
      <c r="J81">
        <v>0</v>
      </c>
      <c r="K81">
        <v>1</v>
      </c>
      <c r="O81">
        <f>ROUND(CP81,2)</f>
        <v>18592.61</v>
      </c>
      <c r="P81">
        <f>ROUND(CQ81*I81,2)</f>
        <v>2289.9</v>
      </c>
      <c r="Q81">
        <f>ROUND(CR81*I81,2)</f>
        <v>5847.32</v>
      </c>
      <c r="R81">
        <f>ROUND(CS81*I81,2)</f>
        <v>3139.53</v>
      </c>
      <c r="S81">
        <f>ROUND(CT81*I81,2)</f>
        <v>10455.39</v>
      </c>
      <c r="T81">
        <f>ROUND(CU81*I81,2)</f>
        <v>0</v>
      </c>
      <c r="U81">
        <f>CV81*I81</f>
        <v>28.897199999999998</v>
      </c>
      <c r="V81">
        <f>CW81*I81</f>
        <v>0</v>
      </c>
      <c r="W81">
        <f>ROUND(CX81*I81,2)</f>
        <v>0</v>
      </c>
      <c r="X81">
        <f>ROUND(CY81,2)</f>
        <v>9618.9599999999991</v>
      </c>
      <c r="Y81">
        <f>ROUND(CZ81,2)</f>
        <v>4495.82</v>
      </c>
      <c r="AA81">
        <v>59267179</v>
      </c>
      <c r="AB81">
        <f>ROUND((AC81+AD81+AF81),6)</f>
        <v>1076.5999999999999</v>
      </c>
      <c r="AC81">
        <f t="shared" si="105"/>
        <v>277.89999999999998</v>
      </c>
      <c r="AD81">
        <f t="shared" si="105"/>
        <v>450.39</v>
      </c>
      <c r="AE81">
        <f t="shared" si="105"/>
        <v>104.59</v>
      </c>
      <c r="AF81">
        <f t="shared" si="105"/>
        <v>348.31</v>
      </c>
      <c r="AG81">
        <f>ROUND((AP81),6)</f>
        <v>0</v>
      </c>
      <c r="AH81">
        <f>(EW81)</f>
        <v>27.6</v>
      </c>
      <c r="AI81">
        <f>(EX81)</f>
        <v>0</v>
      </c>
      <c r="AJ81">
        <f>(AS81)</f>
        <v>0</v>
      </c>
      <c r="AK81">
        <v>1076.5999999999999</v>
      </c>
      <c r="AL81">
        <v>277.89999999999998</v>
      </c>
      <c r="AM81">
        <v>450.39</v>
      </c>
      <c r="AN81">
        <v>104.59</v>
      </c>
      <c r="AO81">
        <v>348.31</v>
      </c>
      <c r="AP81">
        <v>0</v>
      </c>
      <c r="AQ81">
        <v>27.6</v>
      </c>
      <c r="AR81">
        <v>0</v>
      </c>
      <c r="AS81">
        <v>0</v>
      </c>
      <c r="AT81">
        <v>92</v>
      </c>
      <c r="AU81">
        <v>43</v>
      </c>
      <c r="AV81">
        <v>1.0469999999999999</v>
      </c>
      <c r="AW81">
        <v>1</v>
      </c>
      <c r="AZ81">
        <v>1</v>
      </c>
      <c r="BA81">
        <v>28.67</v>
      </c>
      <c r="BB81">
        <v>12.4</v>
      </c>
      <c r="BC81">
        <v>8.24</v>
      </c>
      <c r="BD81" t="s">
        <v>3</v>
      </c>
      <c r="BE81" t="s">
        <v>3</v>
      </c>
      <c r="BF81" t="s">
        <v>3</v>
      </c>
      <c r="BG81" t="s">
        <v>3</v>
      </c>
      <c r="BH81">
        <v>0</v>
      </c>
      <c r="BI81">
        <v>2</v>
      </c>
      <c r="BJ81" t="s">
        <v>50</v>
      </c>
      <c r="BM81">
        <v>317</v>
      </c>
      <c r="BN81">
        <v>0</v>
      </c>
      <c r="BO81" t="s">
        <v>47</v>
      </c>
      <c r="BP81">
        <v>1</v>
      </c>
      <c r="BQ81">
        <v>40</v>
      </c>
      <c r="BR81">
        <v>0</v>
      </c>
      <c r="BS81">
        <v>28.67</v>
      </c>
      <c r="BT81">
        <v>1</v>
      </c>
      <c r="BU81">
        <v>1</v>
      </c>
      <c r="BV81">
        <v>1</v>
      </c>
      <c r="BW81">
        <v>1</v>
      </c>
      <c r="BX81">
        <v>1</v>
      </c>
      <c r="BY81" t="s">
        <v>3</v>
      </c>
      <c r="BZ81">
        <v>92</v>
      </c>
      <c r="CA81">
        <v>43</v>
      </c>
      <c r="CB81" t="s">
        <v>3</v>
      </c>
      <c r="CE81">
        <v>0</v>
      </c>
      <c r="CF81">
        <v>0</v>
      </c>
      <c r="CG81">
        <v>0</v>
      </c>
      <c r="CM81">
        <v>0</v>
      </c>
      <c r="CN81" t="s">
        <v>3</v>
      </c>
      <c r="CO81">
        <v>0</v>
      </c>
      <c r="CP81">
        <f>(P81+Q81+S81)</f>
        <v>18592.61</v>
      </c>
      <c r="CQ81">
        <f>(AC81*BC81*AW81)</f>
        <v>2289.8959999999997</v>
      </c>
      <c r="CR81">
        <f>(AD81*BB81*AV81)</f>
        <v>5847.323292</v>
      </c>
      <c r="CS81">
        <f>(AE81*BS81*AV81)</f>
        <v>3139.5292791000002</v>
      </c>
      <c r="CT81">
        <f>(AF81*BA81*AV81)</f>
        <v>10455.391941899999</v>
      </c>
      <c r="CU81">
        <f>AG81</f>
        <v>0</v>
      </c>
      <c r="CV81">
        <f>(AH81*AV81)</f>
        <v>28.897199999999998</v>
      </c>
      <c r="CW81">
        <f>AI81</f>
        <v>0</v>
      </c>
      <c r="CX81">
        <f>AJ81</f>
        <v>0</v>
      </c>
      <c r="CY81">
        <f>S81*(BZ81/100)</f>
        <v>9618.9588000000003</v>
      </c>
      <c r="CZ81">
        <f>S81*(CA81/100)</f>
        <v>4495.8176999999996</v>
      </c>
      <c r="DC81" t="s">
        <v>3</v>
      </c>
      <c r="DD81" t="s">
        <v>3</v>
      </c>
      <c r="DE81" t="s">
        <v>3</v>
      </c>
      <c r="DF81" t="s">
        <v>3</v>
      </c>
      <c r="DG81" t="s">
        <v>3</v>
      </c>
      <c r="DH81" t="s">
        <v>3</v>
      </c>
      <c r="DI81" t="s">
        <v>3</v>
      </c>
      <c r="DJ81" t="s">
        <v>3</v>
      </c>
      <c r="DK81" t="s">
        <v>3</v>
      </c>
      <c r="DL81" t="s">
        <v>3</v>
      </c>
      <c r="DM81" t="s">
        <v>3</v>
      </c>
      <c r="DN81">
        <v>112</v>
      </c>
      <c r="DO81">
        <v>70</v>
      </c>
      <c r="DP81">
        <v>1.0469999999999999</v>
      </c>
      <c r="DQ81">
        <v>1</v>
      </c>
      <c r="DU81">
        <v>1013</v>
      </c>
      <c r="DV81" t="s">
        <v>49</v>
      </c>
      <c r="DW81" t="s">
        <v>49</v>
      </c>
      <c r="DX81">
        <v>1</v>
      </c>
      <c r="DZ81" t="s">
        <v>3</v>
      </c>
      <c r="EA81" t="s">
        <v>3</v>
      </c>
      <c r="EB81" t="s">
        <v>3</v>
      </c>
      <c r="EC81" t="s">
        <v>3</v>
      </c>
      <c r="EE81">
        <v>42063921</v>
      </c>
      <c r="EF81">
        <v>40</v>
      </c>
      <c r="EG81" t="s">
        <v>42</v>
      </c>
      <c r="EH81">
        <v>0</v>
      </c>
      <c r="EI81" t="s">
        <v>3</v>
      </c>
      <c r="EJ81">
        <v>2</v>
      </c>
      <c r="EK81">
        <v>317</v>
      </c>
      <c r="EL81" t="s">
        <v>51</v>
      </c>
      <c r="EM81" t="s">
        <v>52</v>
      </c>
      <c r="EO81" t="s">
        <v>3</v>
      </c>
      <c r="EQ81">
        <v>512</v>
      </c>
      <c r="ER81">
        <v>1076.5999999999999</v>
      </c>
      <c r="ES81">
        <v>277.89999999999998</v>
      </c>
      <c r="ET81">
        <v>450.39</v>
      </c>
      <c r="EU81">
        <v>104.59</v>
      </c>
      <c r="EV81">
        <v>348.31</v>
      </c>
      <c r="EW81">
        <v>27.6</v>
      </c>
      <c r="EX81">
        <v>0</v>
      </c>
      <c r="EY81">
        <v>0</v>
      </c>
      <c r="FQ81">
        <v>0</v>
      </c>
      <c r="FR81">
        <f>ROUND(IF(AND(BH81=3,BI81=3),P81,0),2)</f>
        <v>0</v>
      </c>
      <c r="FS81">
        <v>0</v>
      </c>
      <c r="FX81">
        <v>112</v>
      </c>
      <c r="FY81">
        <v>70</v>
      </c>
      <c r="GA81" t="s">
        <v>3</v>
      </c>
      <c r="GD81">
        <v>0</v>
      </c>
      <c r="GF81">
        <v>2093567973</v>
      </c>
      <c r="GG81">
        <v>2</v>
      </c>
      <c r="GH81">
        <v>1</v>
      </c>
      <c r="GI81">
        <v>2</v>
      </c>
      <c r="GJ81">
        <v>0</v>
      </c>
      <c r="GK81">
        <f>ROUND(R81*(R12)/100,2)</f>
        <v>5023.25</v>
      </c>
      <c r="GL81">
        <f>ROUND(IF(AND(BH81=3,BI81=3,FS81&lt;&gt;0),P81,0),2)</f>
        <v>0</v>
      </c>
      <c r="GM81">
        <f>ROUND(O81+X81+Y81+GK81,2)+GX81</f>
        <v>37730.639999999999</v>
      </c>
      <c r="GN81">
        <f>IF(OR(BI81=0,BI81=1),ROUND(O81+X81+Y81+GK81,2),0)</f>
        <v>0</v>
      </c>
      <c r="GO81">
        <f>IF(BI81=2,ROUND(O81+X81+Y81+GK81,2),0)</f>
        <v>37730.639999999999</v>
      </c>
      <c r="GP81">
        <f>IF(BI81=4,ROUND(O81+X81+Y81+GK81,2)+GX81,0)</f>
        <v>0</v>
      </c>
      <c r="GR81">
        <v>0</v>
      </c>
      <c r="GS81">
        <v>3</v>
      </c>
      <c r="GT81">
        <v>0</v>
      </c>
      <c r="GU81" t="s">
        <v>3</v>
      </c>
      <c r="GV81">
        <f>ROUND((GT81),6)</f>
        <v>0</v>
      </c>
      <c r="GW81">
        <v>1</v>
      </c>
      <c r="GX81">
        <f>ROUND(HC81*I81,2)</f>
        <v>0</v>
      </c>
      <c r="HA81">
        <v>0</v>
      </c>
      <c r="HB81">
        <v>0</v>
      </c>
      <c r="HC81">
        <f>GV81*GW81</f>
        <v>0</v>
      </c>
      <c r="HE81" t="s">
        <v>3</v>
      </c>
      <c r="HF81" t="s">
        <v>3</v>
      </c>
      <c r="HM81" t="s">
        <v>3</v>
      </c>
      <c r="HN81" t="s">
        <v>3</v>
      </c>
      <c r="HO81" t="s">
        <v>3</v>
      </c>
      <c r="HP81" t="s">
        <v>3</v>
      </c>
      <c r="HQ81" t="s">
        <v>3</v>
      </c>
      <c r="IK81">
        <v>0</v>
      </c>
    </row>
    <row r="82" spans="1:245" x14ac:dyDescent="0.2">
      <c r="A82">
        <v>19</v>
      </c>
      <c r="B82">
        <v>1</v>
      </c>
      <c r="F82" t="s">
        <v>3</v>
      </c>
      <c r="G82" t="s">
        <v>170</v>
      </c>
      <c r="H82" t="s">
        <v>3</v>
      </c>
      <c r="AA82">
        <v>1</v>
      </c>
      <c r="IK82">
        <v>0</v>
      </c>
    </row>
    <row r="83" spans="1:245" x14ac:dyDescent="0.2">
      <c r="A83">
        <v>17</v>
      </c>
      <c r="B83">
        <v>1</v>
      </c>
      <c r="C83">
        <f>ROW(SmtRes!A46)</f>
        <v>46</v>
      </c>
      <c r="D83">
        <f>ROW(EtalonRes!A42)</f>
        <v>42</v>
      </c>
      <c r="E83" t="s">
        <v>171</v>
      </c>
      <c r="F83" t="s">
        <v>172</v>
      </c>
      <c r="G83" t="s">
        <v>173</v>
      </c>
      <c r="H83" t="s">
        <v>174</v>
      </c>
      <c r="I83">
        <f>ROUND(23*0.5*0.4/100,9)</f>
        <v>4.5999999999999999E-2</v>
      </c>
      <c r="J83">
        <v>0</v>
      </c>
      <c r="K83">
        <f>ROUND(23*0.5*0.4/100,9)</f>
        <v>4.5999999999999999E-2</v>
      </c>
      <c r="O83">
        <f t="shared" ref="O83:O90" si="106">ROUND(CP83,2)</f>
        <v>3361.92</v>
      </c>
      <c r="P83">
        <f t="shared" ref="P83:P90" si="107">ROUND(CQ83*I83,2)</f>
        <v>0</v>
      </c>
      <c r="Q83">
        <f t="shared" ref="Q83:Q90" si="108">ROUND(CR83*I83,2)</f>
        <v>0</v>
      </c>
      <c r="R83">
        <f t="shared" ref="R83:R90" si="109">ROUND(CS83*I83,2)</f>
        <v>0</v>
      </c>
      <c r="S83">
        <f t="shared" ref="S83:S90" si="110">ROUND(CT83*I83,2)</f>
        <v>3361.92</v>
      </c>
      <c r="T83">
        <f t="shared" ref="T83:T90" si="111">ROUND(CU83*I83,2)</f>
        <v>0</v>
      </c>
      <c r="U83">
        <f t="shared" ref="U83:U90" si="112">CV83*I83</f>
        <v>11.0625216</v>
      </c>
      <c r="V83">
        <f t="shared" ref="V83:V90" si="113">CW83*I83</f>
        <v>0</v>
      </c>
      <c r="W83">
        <f t="shared" ref="W83:W90" si="114">ROUND(CX83*I83,2)</f>
        <v>0</v>
      </c>
      <c r="X83">
        <f t="shared" ref="X83:Y90" si="115">ROUND(CY83,2)</f>
        <v>2924.87</v>
      </c>
      <c r="Y83">
        <f t="shared" si="115"/>
        <v>1378.39</v>
      </c>
      <c r="AA83">
        <v>59267179</v>
      </c>
      <c r="AB83">
        <f t="shared" ref="AB83:AB90" si="116">ROUND((AC83+AD83+AF83),6)</f>
        <v>2042.62</v>
      </c>
      <c r="AC83">
        <f t="shared" ref="AC83:AF90" si="117">ROUND((ES83),6)</f>
        <v>0</v>
      </c>
      <c r="AD83">
        <f t="shared" si="117"/>
        <v>0</v>
      </c>
      <c r="AE83">
        <f t="shared" si="117"/>
        <v>0</v>
      </c>
      <c r="AF83">
        <f t="shared" si="117"/>
        <v>2042.62</v>
      </c>
      <c r="AG83">
        <f t="shared" ref="AG83:AG90" si="118">ROUND((AP83),6)</f>
        <v>0</v>
      </c>
      <c r="AH83">
        <f t="shared" ref="AH83:AI90" si="119">(EW83)</f>
        <v>192.7</v>
      </c>
      <c r="AI83">
        <f t="shared" si="119"/>
        <v>0</v>
      </c>
      <c r="AJ83">
        <f t="shared" ref="AJ83:AJ90" si="120">(AS83)</f>
        <v>0</v>
      </c>
      <c r="AK83">
        <v>2042.62</v>
      </c>
      <c r="AL83">
        <v>0</v>
      </c>
      <c r="AM83">
        <v>0</v>
      </c>
      <c r="AN83">
        <v>0</v>
      </c>
      <c r="AO83">
        <v>2042.62</v>
      </c>
      <c r="AP83">
        <v>0</v>
      </c>
      <c r="AQ83">
        <v>192.7</v>
      </c>
      <c r="AR83">
        <v>0</v>
      </c>
      <c r="AS83">
        <v>0</v>
      </c>
      <c r="AT83">
        <v>87</v>
      </c>
      <c r="AU83">
        <v>41</v>
      </c>
      <c r="AV83">
        <v>1.248</v>
      </c>
      <c r="AW83">
        <v>1</v>
      </c>
      <c r="AZ83">
        <v>1</v>
      </c>
      <c r="BA83">
        <v>28.67</v>
      </c>
      <c r="BB83">
        <v>1</v>
      </c>
      <c r="BC83">
        <v>1</v>
      </c>
      <c r="BD83" t="s">
        <v>3</v>
      </c>
      <c r="BE83" t="s">
        <v>3</v>
      </c>
      <c r="BF83" t="s">
        <v>3</v>
      </c>
      <c r="BG83" t="s">
        <v>3</v>
      </c>
      <c r="BH83">
        <v>0</v>
      </c>
      <c r="BI83">
        <v>1</v>
      </c>
      <c r="BJ83" t="s">
        <v>175</v>
      </c>
      <c r="BM83">
        <v>16</v>
      </c>
      <c r="BN83">
        <v>0</v>
      </c>
      <c r="BO83" t="s">
        <v>172</v>
      </c>
      <c r="BP83">
        <v>1</v>
      </c>
      <c r="BQ83">
        <v>30</v>
      </c>
      <c r="BR83">
        <v>0</v>
      </c>
      <c r="BS83">
        <v>28.67</v>
      </c>
      <c r="BT83">
        <v>1</v>
      </c>
      <c r="BU83">
        <v>1</v>
      </c>
      <c r="BV83">
        <v>1</v>
      </c>
      <c r="BW83">
        <v>1</v>
      </c>
      <c r="BX83">
        <v>1</v>
      </c>
      <c r="BY83" t="s">
        <v>3</v>
      </c>
      <c r="BZ83">
        <v>87</v>
      </c>
      <c r="CA83">
        <v>41</v>
      </c>
      <c r="CB83" t="s">
        <v>3</v>
      </c>
      <c r="CE83">
        <v>0</v>
      </c>
      <c r="CF83">
        <v>0</v>
      </c>
      <c r="CG83">
        <v>0</v>
      </c>
      <c r="CM83">
        <v>0</v>
      </c>
      <c r="CN83" t="s">
        <v>3</v>
      </c>
      <c r="CO83">
        <v>0</v>
      </c>
      <c r="CP83">
        <f t="shared" ref="CP83:CP90" si="121">(P83+Q83+S83)</f>
        <v>3361.92</v>
      </c>
      <c r="CQ83">
        <f t="shared" ref="CQ83:CQ90" si="122">(AC83*BC83*AW83)</f>
        <v>0</v>
      </c>
      <c r="CR83">
        <f t="shared" ref="CR83:CR90" si="123">(AD83*BB83*AV83)</f>
        <v>0</v>
      </c>
      <c r="CS83">
        <f t="shared" ref="CS83:CS90" si="124">(AE83*BS83*AV83)</f>
        <v>0</v>
      </c>
      <c r="CT83">
        <f t="shared" ref="CT83:CT90" si="125">(AF83*BA83*AV83)</f>
        <v>73085.270419199995</v>
      </c>
      <c r="CU83">
        <f t="shared" ref="CU83:CU90" si="126">AG83</f>
        <v>0</v>
      </c>
      <c r="CV83">
        <f t="shared" ref="CV83:CV90" si="127">(AH83*AV83)</f>
        <v>240.4896</v>
      </c>
      <c r="CW83">
        <f t="shared" ref="CW83:CX90" si="128">AI83</f>
        <v>0</v>
      </c>
      <c r="CX83">
        <f t="shared" si="128"/>
        <v>0</v>
      </c>
      <c r="CY83">
        <f t="shared" ref="CY83:CY90" si="129">S83*(BZ83/100)</f>
        <v>2924.8704000000002</v>
      </c>
      <c r="CZ83">
        <f t="shared" ref="CZ83:CZ90" si="130">S83*(CA83/100)</f>
        <v>1378.3871999999999</v>
      </c>
      <c r="DC83" t="s">
        <v>3</v>
      </c>
      <c r="DD83" t="s">
        <v>3</v>
      </c>
      <c r="DE83" t="s">
        <v>3</v>
      </c>
      <c r="DF83" t="s">
        <v>3</v>
      </c>
      <c r="DG83" t="s">
        <v>3</v>
      </c>
      <c r="DH83" t="s">
        <v>3</v>
      </c>
      <c r="DI83" t="s">
        <v>3</v>
      </c>
      <c r="DJ83" t="s">
        <v>3</v>
      </c>
      <c r="DK83" t="s">
        <v>3</v>
      </c>
      <c r="DL83" t="s">
        <v>3</v>
      </c>
      <c r="DM83" t="s">
        <v>3</v>
      </c>
      <c r="DN83">
        <v>105</v>
      </c>
      <c r="DO83">
        <v>77</v>
      </c>
      <c r="DP83">
        <v>1.248</v>
      </c>
      <c r="DQ83">
        <v>1</v>
      </c>
      <c r="DU83">
        <v>1013</v>
      </c>
      <c r="DV83" t="s">
        <v>174</v>
      </c>
      <c r="DW83" t="s">
        <v>174</v>
      </c>
      <c r="DX83">
        <v>1</v>
      </c>
      <c r="DZ83" t="s">
        <v>3</v>
      </c>
      <c r="EA83" t="s">
        <v>3</v>
      </c>
      <c r="EB83" t="s">
        <v>3</v>
      </c>
      <c r="EC83" t="s">
        <v>3</v>
      </c>
      <c r="EE83">
        <v>42063620</v>
      </c>
      <c r="EF83">
        <v>30</v>
      </c>
      <c r="EG83" t="s">
        <v>25</v>
      </c>
      <c r="EH83">
        <v>0</v>
      </c>
      <c r="EI83" t="s">
        <v>3</v>
      </c>
      <c r="EJ83">
        <v>1</v>
      </c>
      <c r="EK83">
        <v>16</v>
      </c>
      <c r="EL83" t="s">
        <v>176</v>
      </c>
      <c r="EM83" t="s">
        <v>177</v>
      </c>
      <c r="EO83" t="s">
        <v>3</v>
      </c>
      <c r="EQ83">
        <v>0</v>
      </c>
      <c r="ER83">
        <v>2042.62</v>
      </c>
      <c r="ES83">
        <v>0</v>
      </c>
      <c r="ET83">
        <v>0</v>
      </c>
      <c r="EU83">
        <v>0</v>
      </c>
      <c r="EV83">
        <v>2042.62</v>
      </c>
      <c r="EW83">
        <v>192.7</v>
      </c>
      <c r="EX83">
        <v>0</v>
      </c>
      <c r="EY83">
        <v>0</v>
      </c>
      <c r="FQ83">
        <v>0</v>
      </c>
      <c r="FR83">
        <f t="shared" ref="FR83:FR90" si="131">ROUND(IF(AND(BH83=3,BI83=3),P83,0),2)</f>
        <v>0</v>
      </c>
      <c r="FS83">
        <v>0</v>
      </c>
      <c r="FX83">
        <v>105</v>
      </c>
      <c r="FY83">
        <v>77</v>
      </c>
      <c r="GA83" t="s">
        <v>3</v>
      </c>
      <c r="GD83">
        <v>0</v>
      </c>
      <c r="GF83">
        <v>-18916336</v>
      </c>
      <c r="GG83">
        <v>2</v>
      </c>
      <c r="GH83">
        <v>1</v>
      </c>
      <c r="GI83">
        <v>2</v>
      </c>
      <c r="GJ83">
        <v>0</v>
      </c>
      <c r="GK83">
        <f>ROUND(R83*(R12)/100,2)</f>
        <v>0</v>
      </c>
      <c r="GL83">
        <f t="shared" ref="GL83:GL90" si="132">ROUND(IF(AND(BH83=3,BI83=3,FS83&lt;&gt;0),P83,0),2)</f>
        <v>0</v>
      </c>
      <c r="GM83">
        <f t="shared" ref="GM83:GM90" si="133">ROUND(O83+X83+Y83+GK83,2)+GX83</f>
        <v>7665.18</v>
      </c>
      <c r="GN83">
        <f t="shared" ref="GN83:GN90" si="134">IF(OR(BI83=0,BI83=1),ROUND(O83+X83+Y83+GK83,2),0)</f>
        <v>7665.18</v>
      </c>
      <c r="GO83">
        <f t="shared" ref="GO83:GO90" si="135">IF(BI83=2,ROUND(O83+X83+Y83+GK83,2),0)</f>
        <v>0</v>
      </c>
      <c r="GP83">
        <f t="shared" ref="GP83:GP90" si="136">IF(BI83=4,ROUND(O83+X83+Y83+GK83,2)+GX83,0)</f>
        <v>0</v>
      </c>
      <c r="GR83">
        <v>0</v>
      </c>
      <c r="GS83">
        <v>3</v>
      </c>
      <c r="GT83">
        <v>0</v>
      </c>
      <c r="GU83" t="s">
        <v>3</v>
      </c>
      <c r="GV83">
        <f t="shared" ref="GV83:GV90" si="137">ROUND((GT83),6)</f>
        <v>0</v>
      </c>
      <c r="GW83">
        <v>1</v>
      </c>
      <c r="GX83">
        <f t="shared" ref="GX83:GX90" si="138">ROUND(HC83*I83,2)</f>
        <v>0</v>
      </c>
      <c r="HA83">
        <v>0</v>
      </c>
      <c r="HB83">
        <v>0</v>
      </c>
      <c r="HC83">
        <f t="shared" ref="HC83:HC90" si="139">GV83*GW83</f>
        <v>0</v>
      </c>
      <c r="HE83" t="s">
        <v>3</v>
      </c>
      <c r="HF83" t="s">
        <v>3</v>
      </c>
      <c r="HM83" t="s">
        <v>3</v>
      </c>
      <c r="HN83" t="s">
        <v>3</v>
      </c>
      <c r="HO83" t="s">
        <v>3</v>
      </c>
      <c r="HP83" t="s">
        <v>3</v>
      </c>
      <c r="HQ83" t="s">
        <v>3</v>
      </c>
      <c r="IK83">
        <v>0</v>
      </c>
    </row>
    <row r="84" spans="1:245" x14ac:dyDescent="0.2">
      <c r="A84">
        <v>17</v>
      </c>
      <c r="B84">
        <v>1</v>
      </c>
      <c r="C84">
        <f>ROW(SmtRes!A47)</f>
        <v>47</v>
      </c>
      <c r="D84">
        <f>ROW(EtalonRes!A43)</f>
        <v>43</v>
      </c>
      <c r="E84" t="s">
        <v>178</v>
      </c>
      <c r="F84" t="s">
        <v>179</v>
      </c>
      <c r="G84" t="s">
        <v>180</v>
      </c>
      <c r="H84" t="s">
        <v>174</v>
      </c>
      <c r="I84">
        <f>ROUND(I83,9)</f>
        <v>4.5999999999999999E-2</v>
      </c>
      <c r="J84">
        <v>0</v>
      </c>
      <c r="K84">
        <f>ROUND(I83,9)</f>
        <v>4.5999999999999999E-2</v>
      </c>
      <c r="O84">
        <f t="shared" si="106"/>
        <v>1730.04</v>
      </c>
      <c r="P84">
        <f t="shared" si="107"/>
        <v>0</v>
      </c>
      <c r="Q84">
        <f t="shared" si="108"/>
        <v>0</v>
      </c>
      <c r="R84">
        <f t="shared" si="109"/>
        <v>0</v>
      </c>
      <c r="S84">
        <f t="shared" si="110"/>
        <v>1730.04</v>
      </c>
      <c r="T84">
        <f t="shared" si="111"/>
        <v>0</v>
      </c>
      <c r="U84">
        <f t="shared" si="112"/>
        <v>6.1449523200000007</v>
      </c>
      <c r="V84">
        <f t="shared" si="113"/>
        <v>0</v>
      </c>
      <c r="W84">
        <f t="shared" si="114"/>
        <v>0</v>
      </c>
      <c r="X84">
        <f t="shared" si="115"/>
        <v>1505.13</v>
      </c>
      <c r="Y84">
        <f t="shared" si="115"/>
        <v>709.32</v>
      </c>
      <c r="AA84">
        <v>59267179</v>
      </c>
      <c r="AB84">
        <f t="shared" si="116"/>
        <v>1051.1300000000001</v>
      </c>
      <c r="AC84">
        <f t="shared" si="117"/>
        <v>0</v>
      </c>
      <c r="AD84">
        <f t="shared" si="117"/>
        <v>0</v>
      </c>
      <c r="AE84">
        <f t="shared" si="117"/>
        <v>0</v>
      </c>
      <c r="AF84">
        <f t="shared" si="117"/>
        <v>1051.1300000000001</v>
      </c>
      <c r="AG84">
        <f t="shared" si="118"/>
        <v>0</v>
      </c>
      <c r="AH84">
        <f t="shared" si="119"/>
        <v>107.04</v>
      </c>
      <c r="AI84">
        <f t="shared" si="119"/>
        <v>0</v>
      </c>
      <c r="AJ84">
        <f t="shared" si="120"/>
        <v>0</v>
      </c>
      <c r="AK84">
        <v>1051.1300000000001</v>
      </c>
      <c r="AL84">
        <v>0</v>
      </c>
      <c r="AM84">
        <v>0</v>
      </c>
      <c r="AN84">
        <v>0</v>
      </c>
      <c r="AO84">
        <v>1051.1300000000001</v>
      </c>
      <c r="AP84">
        <v>0</v>
      </c>
      <c r="AQ84">
        <v>107.04</v>
      </c>
      <c r="AR84">
        <v>0</v>
      </c>
      <c r="AS84">
        <v>0</v>
      </c>
      <c r="AT84">
        <v>87</v>
      </c>
      <c r="AU84">
        <v>41</v>
      </c>
      <c r="AV84">
        <v>1.248</v>
      </c>
      <c r="AW84">
        <v>1</v>
      </c>
      <c r="AZ84">
        <v>1</v>
      </c>
      <c r="BA84">
        <v>28.67</v>
      </c>
      <c r="BB84">
        <v>1</v>
      </c>
      <c r="BC84">
        <v>1</v>
      </c>
      <c r="BD84" t="s">
        <v>3</v>
      </c>
      <c r="BE84" t="s">
        <v>3</v>
      </c>
      <c r="BF84" t="s">
        <v>3</v>
      </c>
      <c r="BG84" t="s">
        <v>3</v>
      </c>
      <c r="BH84">
        <v>0</v>
      </c>
      <c r="BI84">
        <v>1</v>
      </c>
      <c r="BJ84" t="s">
        <v>181</v>
      </c>
      <c r="BM84">
        <v>16</v>
      </c>
      <c r="BN84">
        <v>0</v>
      </c>
      <c r="BO84" t="s">
        <v>179</v>
      </c>
      <c r="BP84">
        <v>1</v>
      </c>
      <c r="BQ84">
        <v>30</v>
      </c>
      <c r="BR84">
        <v>0</v>
      </c>
      <c r="BS84">
        <v>28.67</v>
      </c>
      <c r="BT84">
        <v>1</v>
      </c>
      <c r="BU84">
        <v>1</v>
      </c>
      <c r="BV84">
        <v>1</v>
      </c>
      <c r="BW84">
        <v>1</v>
      </c>
      <c r="BX84">
        <v>1</v>
      </c>
      <c r="BY84" t="s">
        <v>3</v>
      </c>
      <c r="BZ84">
        <v>87</v>
      </c>
      <c r="CA84">
        <v>41</v>
      </c>
      <c r="CB84" t="s">
        <v>3</v>
      </c>
      <c r="CE84">
        <v>0</v>
      </c>
      <c r="CF84">
        <v>0</v>
      </c>
      <c r="CG84">
        <v>0</v>
      </c>
      <c r="CM84">
        <v>0</v>
      </c>
      <c r="CN84" t="s">
        <v>3</v>
      </c>
      <c r="CO84">
        <v>0</v>
      </c>
      <c r="CP84">
        <f t="shared" si="121"/>
        <v>1730.04</v>
      </c>
      <c r="CQ84">
        <f t="shared" si="122"/>
        <v>0</v>
      </c>
      <c r="CR84">
        <f t="shared" si="123"/>
        <v>0</v>
      </c>
      <c r="CS84">
        <f t="shared" si="124"/>
        <v>0</v>
      </c>
      <c r="CT84">
        <f t="shared" si="125"/>
        <v>37609.599580800008</v>
      </c>
      <c r="CU84">
        <f t="shared" si="126"/>
        <v>0</v>
      </c>
      <c r="CV84">
        <f t="shared" si="127"/>
        <v>133.58592000000002</v>
      </c>
      <c r="CW84">
        <f t="shared" si="128"/>
        <v>0</v>
      </c>
      <c r="CX84">
        <f t="shared" si="128"/>
        <v>0</v>
      </c>
      <c r="CY84">
        <f t="shared" si="129"/>
        <v>1505.1348</v>
      </c>
      <c r="CZ84">
        <f t="shared" si="130"/>
        <v>709.31639999999993</v>
      </c>
      <c r="DC84" t="s">
        <v>3</v>
      </c>
      <c r="DD84" t="s">
        <v>3</v>
      </c>
      <c r="DE84" t="s">
        <v>3</v>
      </c>
      <c r="DF84" t="s">
        <v>3</v>
      </c>
      <c r="DG84" t="s">
        <v>3</v>
      </c>
      <c r="DH84" t="s">
        <v>3</v>
      </c>
      <c r="DI84" t="s">
        <v>3</v>
      </c>
      <c r="DJ84" t="s">
        <v>3</v>
      </c>
      <c r="DK84" t="s">
        <v>3</v>
      </c>
      <c r="DL84" t="s">
        <v>3</v>
      </c>
      <c r="DM84" t="s">
        <v>3</v>
      </c>
      <c r="DN84">
        <v>105</v>
      </c>
      <c r="DO84">
        <v>77</v>
      </c>
      <c r="DP84">
        <v>1.248</v>
      </c>
      <c r="DQ84">
        <v>1</v>
      </c>
      <c r="DU84">
        <v>1013</v>
      </c>
      <c r="DV84" t="s">
        <v>174</v>
      </c>
      <c r="DW84" t="s">
        <v>174</v>
      </c>
      <c r="DX84">
        <v>1</v>
      </c>
      <c r="DZ84" t="s">
        <v>3</v>
      </c>
      <c r="EA84" t="s">
        <v>3</v>
      </c>
      <c r="EB84" t="s">
        <v>3</v>
      </c>
      <c r="EC84" t="s">
        <v>3</v>
      </c>
      <c r="EE84">
        <v>42063620</v>
      </c>
      <c r="EF84">
        <v>30</v>
      </c>
      <c r="EG84" t="s">
        <v>25</v>
      </c>
      <c r="EH84">
        <v>0</v>
      </c>
      <c r="EI84" t="s">
        <v>3</v>
      </c>
      <c r="EJ84">
        <v>1</v>
      </c>
      <c r="EK84">
        <v>16</v>
      </c>
      <c r="EL84" t="s">
        <v>176</v>
      </c>
      <c r="EM84" t="s">
        <v>177</v>
      </c>
      <c r="EO84" t="s">
        <v>3</v>
      </c>
      <c r="EQ84">
        <v>0</v>
      </c>
      <c r="ER84">
        <v>1051.1300000000001</v>
      </c>
      <c r="ES84">
        <v>0</v>
      </c>
      <c r="ET84">
        <v>0</v>
      </c>
      <c r="EU84">
        <v>0</v>
      </c>
      <c r="EV84">
        <v>1051.1300000000001</v>
      </c>
      <c r="EW84">
        <v>107.04</v>
      </c>
      <c r="EX84">
        <v>0</v>
      </c>
      <c r="EY84">
        <v>0</v>
      </c>
      <c r="FQ84">
        <v>0</v>
      </c>
      <c r="FR84">
        <f t="shared" si="131"/>
        <v>0</v>
      </c>
      <c r="FS84">
        <v>0</v>
      </c>
      <c r="FX84">
        <v>105</v>
      </c>
      <c r="FY84">
        <v>77</v>
      </c>
      <c r="GA84" t="s">
        <v>3</v>
      </c>
      <c r="GD84">
        <v>0</v>
      </c>
      <c r="GF84">
        <v>594820189</v>
      </c>
      <c r="GG84">
        <v>2</v>
      </c>
      <c r="GH84">
        <v>1</v>
      </c>
      <c r="GI84">
        <v>2</v>
      </c>
      <c r="GJ84">
        <v>0</v>
      </c>
      <c r="GK84">
        <f>ROUND(R84*(R12)/100,2)</f>
        <v>0</v>
      </c>
      <c r="GL84">
        <f t="shared" si="132"/>
        <v>0</v>
      </c>
      <c r="GM84">
        <f t="shared" si="133"/>
        <v>3944.49</v>
      </c>
      <c r="GN84">
        <f t="shared" si="134"/>
        <v>3944.49</v>
      </c>
      <c r="GO84">
        <f t="shared" si="135"/>
        <v>0</v>
      </c>
      <c r="GP84">
        <f t="shared" si="136"/>
        <v>0</v>
      </c>
      <c r="GR84">
        <v>0</v>
      </c>
      <c r="GS84">
        <v>3</v>
      </c>
      <c r="GT84">
        <v>0</v>
      </c>
      <c r="GU84" t="s">
        <v>3</v>
      </c>
      <c r="GV84">
        <f t="shared" si="137"/>
        <v>0</v>
      </c>
      <c r="GW84">
        <v>1</v>
      </c>
      <c r="GX84">
        <f t="shared" si="138"/>
        <v>0</v>
      </c>
      <c r="HA84">
        <v>0</v>
      </c>
      <c r="HB84">
        <v>0</v>
      </c>
      <c r="HC84">
        <f t="shared" si="139"/>
        <v>0</v>
      </c>
      <c r="HE84" t="s">
        <v>3</v>
      </c>
      <c r="HF84" t="s">
        <v>3</v>
      </c>
      <c r="HM84" t="s">
        <v>3</v>
      </c>
      <c r="HN84" t="s">
        <v>3</v>
      </c>
      <c r="HO84" t="s">
        <v>3</v>
      </c>
      <c r="HP84" t="s">
        <v>3</v>
      </c>
      <c r="HQ84" t="s">
        <v>3</v>
      </c>
      <c r="IK84">
        <v>0</v>
      </c>
    </row>
    <row r="85" spans="1:245" x14ac:dyDescent="0.2">
      <c r="A85">
        <v>17</v>
      </c>
      <c r="B85">
        <v>1</v>
      </c>
      <c r="C85">
        <f>ROW(SmtRes!A49)</f>
        <v>49</v>
      </c>
      <c r="D85">
        <f>ROW(EtalonRes!A44)</f>
        <v>44</v>
      </c>
      <c r="E85" t="s">
        <v>182</v>
      </c>
      <c r="F85" t="s">
        <v>183</v>
      </c>
      <c r="G85" t="s">
        <v>184</v>
      </c>
      <c r="H85" t="s">
        <v>185</v>
      </c>
      <c r="I85">
        <v>0.8</v>
      </c>
      <c r="J85">
        <v>0</v>
      </c>
      <c r="K85">
        <v>0.8</v>
      </c>
      <c r="O85">
        <f t="shared" si="106"/>
        <v>5497.47</v>
      </c>
      <c r="P85">
        <f t="shared" si="107"/>
        <v>1656.07</v>
      </c>
      <c r="Q85">
        <f t="shared" si="108"/>
        <v>733.37</v>
      </c>
      <c r="R85">
        <f t="shared" si="109"/>
        <v>229.06</v>
      </c>
      <c r="S85">
        <f t="shared" si="110"/>
        <v>3108.03</v>
      </c>
      <c r="T85">
        <f t="shared" si="111"/>
        <v>0</v>
      </c>
      <c r="U85">
        <f t="shared" si="112"/>
        <v>8.7920800000000003</v>
      </c>
      <c r="V85">
        <f t="shared" si="113"/>
        <v>0</v>
      </c>
      <c r="W85">
        <f t="shared" si="114"/>
        <v>0</v>
      </c>
      <c r="X85">
        <f t="shared" si="115"/>
        <v>2859.39</v>
      </c>
      <c r="Y85">
        <f t="shared" si="115"/>
        <v>1336.45</v>
      </c>
      <c r="AA85">
        <v>59267179</v>
      </c>
      <c r="AB85">
        <f t="shared" si="116"/>
        <v>447.79</v>
      </c>
      <c r="AC85">
        <f t="shared" si="117"/>
        <v>232.4</v>
      </c>
      <c r="AD85">
        <f t="shared" si="117"/>
        <v>88.39</v>
      </c>
      <c r="AE85">
        <f t="shared" si="117"/>
        <v>9.36</v>
      </c>
      <c r="AF85">
        <f t="shared" si="117"/>
        <v>127</v>
      </c>
      <c r="AG85">
        <f t="shared" si="118"/>
        <v>0</v>
      </c>
      <c r="AH85">
        <f t="shared" si="119"/>
        <v>10.3</v>
      </c>
      <c r="AI85">
        <f t="shared" si="119"/>
        <v>0</v>
      </c>
      <c r="AJ85">
        <f t="shared" si="120"/>
        <v>0</v>
      </c>
      <c r="AK85">
        <v>447.79</v>
      </c>
      <c r="AL85">
        <v>232.4</v>
      </c>
      <c r="AM85">
        <v>88.39</v>
      </c>
      <c r="AN85">
        <v>9.36</v>
      </c>
      <c r="AO85">
        <v>127</v>
      </c>
      <c r="AP85">
        <v>0</v>
      </c>
      <c r="AQ85">
        <v>10.3</v>
      </c>
      <c r="AR85">
        <v>0</v>
      </c>
      <c r="AS85">
        <v>0</v>
      </c>
      <c r="AT85">
        <v>92</v>
      </c>
      <c r="AU85">
        <v>43</v>
      </c>
      <c r="AV85">
        <v>1.0669999999999999</v>
      </c>
      <c r="AW85">
        <v>1.081</v>
      </c>
      <c r="AZ85">
        <v>1</v>
      </c>
      <c r="BA85">
        <v>28.67</v>
      </c>
      <c r="BB85">
        <v>9.7200000000000006</v>
      </c>
      <c r="BC85">
        <v>8.24</v>
      </c>
      <c r="BD85" t="s">
        <v>3</v>
      </c>
      <c r="BE85" t="s">
        <v>3</v>
      </c>
      <c r="BF85" t="s">
        <v>3</v>
      </c>
      <c r="BG85" t="s">
        <v>3</v>
      </c>
      <c r="BH85">
        <v>0</v>
      </c>
      <c r="BI85">
        <v>2</v>
      </c>
      <c r="BJ85" t="s">
        <v>186</v>
      </c>
      <c r="BM85">
        <v>332</v>
      </c>
      <c r="BN85">
        <v>0</v>
      </c>
      <c r="BO85" t="s">
        <v>183</v>
      </c>
      <c r="BP85">
        <v>1</v>
      </c>
      <c r="BQ85">
        <v>40</v>
      </c>
      <c r="BR85">
        <v>0</v>
      </c>
      <c r="BS85">
        <v>28.67</v>
      </c>
      <c r="BT85">
        <v>1</v>
      </c>
      <c r="BU85">
        <v>1</v>
      </c>
      <c r="BV85">
        <v>1</v>
      </c>
      <c r="BW85">
        <v>1</v>
      </c>
      <c r="BX85">
        <v>1</v>
      </c>
      <c r="BY85" t="s">
        <v>3</v>
      </c>
      <c r="BZ85">
        <v>92</v>
      </c>
      <c r="CA85">
        <v>43</v>
      </c>
      <c r="CB85" t="s">
        <v>3</v>
      </c>
      <c r="CE85">
        <v>0</v>
      </c>
      <c r="CF85">
        <v>0</v>
      </c>
      <c r="CG85">
        <v>0</v>
      </c>
      <c r="CM85">
        <v>0</v>
      </c>
      <c r="CN85" t="s">
        <v>3</v>
      </c>
      <c r="CO85">
        <v>0</v>
      </c>
      <c r="CP85">
        <f t="shared" si="121"/>
        <v>5497.47</v>
      </c>
      <c r="CQ85">
        <f t="shared" si="122"/>
        <v>2070.0890560000003</v>
      </c>
      <c r="CR85">
        <f t="shared" si="123"/>
        <v>916.71390360000009</v>
      </c>
      <c r="CS85">
        <f t="shared" si="124"/>
        <v>286.33073039999999</v>
      </c>
      <c r="CT85">
        <f t="shared" si="125"/>
        <v>3885.0430299999998</v>
      </c>
      <c r="CU85">
        <f t="shared" si="126"/>
        <v>0</v>
      </c>
      <c r="CV85">
        <f t="shared" si="127"/>
        <v>10.9901</v>
      </c>
      <c r="CW85">
        <f t="shared" si="128"/>
        <v>0</v>
      </c>
      <c r="CX85">
        <f t="shared" si="128"/>
        <v>0</v>
      </c>
      <c r="CY85">
        <f t="shared" si="129"/>
        <v>2859.3876000000005</v>
      </c>
      <c r="CZ85">
        <f t="shared" si="130"/>
        <v>1336.4529</v>
      </c>
      <c r="DC85" t="s">
        <v>3</v>
      </c>
      <c r="DD85" t="s">
        <v>3</v>
      </c>
      <c r="DE85" t="s">
        <v>3</v>
      </c>
      <c r="DF85" t="s">
        <v>3</v>
      </c>
      <c r="DG85" t="s">
        <v>3</v>
      </c>
      <c r="DH85" t="s">
        <v>3</v>
      </c>
      <c r="DI85" t="s">
        <v>3</v>
      </c>
      <c r="DJ85" t="s">
        <v>3</v>
      </c>
      <c r="DK85" t="s">
        <v>3</v>
      </c>
      <c r="DL85" t="s">
        <v>3</v>
      </c>
      <c r="DM85" t="s">
        <v>3</v>
      </c>
      <c r="DN85">
        <v>112</v>
      </c>
      <c r="DO85">
        <v>70</v>
      </c>
      <c r="DP85">
        <v>1.0669999999999999</v>
      </c>
      <c r="DQ85">
        <v>1.081</v>
      </c>
      <c r="DU85">
        <v>1010</v>
      </c>
      <c r="DV85" t="s">
        <v>185</v>
      </c>
      <c r="DW85" t="s">
        <v>185</v>
      </c>
      <c r="DX85">
        <v>10</v>
      </c>
      <c r="DZ85" t="s">
        <v>3</v>
      </c>
      <c r="EA85" t="s">
        <v>3</v>
      </c>
      <c r="EB85" t="s">
        <v>3</v>
      </c>
      <c r="EC85" t="s">
        <v>3</v>
      </c>
      <c r="EE85">
        <v>42063936</v>
      </c>
      <c r="EF85">
        <v>40</v>
      </c>
      <c r="EG85" t="s">
        <v>42</v>
      </c>
      <c r="EH85">
        <v>0</v>
      </c>
      <c r="EI85" t="s">
        <v>3</v>
      </c>
      <c r="EJ85">
        <v>2</v>
      </c>
      <c r="EK85">
        <v>332</v>
      </c>
      <c r="EL85" t="s">
        <v>187</v>
      </c>
      <c r="EM85" t="s">
        <v>188</v>
      </c>
      <c r="EO85" t="s">
        <v>3</v>
      </c>
      <c r="EQ85">
        <v>0</v>
      </c>
      <c r="ER85">
        <v>447.79</v>
      </c>
      <c r="ES85">
        <v>232.4</v>
      </c>
      <c r="ET85">
        <v>88.39</v>
      </c>
      <c r="EU85">
        <v>9.36</v>
      </c>
      <c r="EV85">
        <v>127</v>
      </c>
      <c r="EW85">
        <v>10.3</v>
      </c>
      <c r="EX85">
        <v>0</v>
      </c>
      <c r="EY85">
        <v>0</v>
      </c>
      <c r="FQ85">
        <v>0</v>
      </c>
      <c r="FR85">
        <f t="shared" si="131"/>
        <v>0</v>
      </c>
      <c r="FS85">
        <v>0</v>
      </c>
      <c r="FX85">
        <v>112</v>
      </c>
      <c r="FY85">
        <v>70</v>
      </c>
      <c r="GA85" t="s">
        <v>3</v>
      </c>
      <c r="GD85">
        <v>0</v>
      </c>
      <c r="GF85">
        <v>-1080378223</v>
      </c>
      <c r="GG85">
        <v>2</v>
      </c>
      <c r="GH85">
        <v>1</v>
      </c>
      <c r="GI85">
        <v>2</v>
      </c>
      <c r="GJ85">
        <v>0</v>
      </c>
      <c r="GK85">
        <f>ROUND(R85*(R12)/100,2)</f>
        <v>366.5</v>
      </c>
      <c r="GL85">
        <f t="shared" si="132"/>
        <v>0</v>
      </c>
      <c r="GM85">
        <f t="shared" si="133"/>
        <v>10059.81</v>
      </c>
      <c r="GN85">
        <f t="shared" si="134"/>
        <v>0</v>
      </c>
      <c r="GO85">
        <f t="shared" si="135"/>
        <v>10059.81</v>
      </c>
      <c r="GP85">
        <f t="shared" si="136"/>
        <v>0</v>
      </c>
      <c r="GR85">
        <v>0</v>
      </c>
      <c r="GS85">
        <v>3</v>
      </c>
      <c r="GT85">
        <v>0</v>
      </c>
      <c r="GU85" t="s">
        <v>3</v>
      </c>
      <c r="GV85">
        <f t="shared" si="137"/>
        <v>0</v>
      </c>
      <c r="GW85">
        <v>1</v>
      </c>
      <c r="GX85">
        <f t="shared" si="138"/>
        <v>0</v>
      </c>
      <c r="HA85">
        <v>0</v>
      </c>
      <c r="HB85">
        <v>0</v>
      </c>
      <c r="HC85">
        <f t="shared" si="139"/>
        <v>0</v>
      </c>
      <c r="HE85" t="s">
        <v>3</v>
      </c>
      <c r="HF85" t="s">
        <v>3</v>
      </c>
      <c r="HM85" t="s">
        <v>3</v>
      </c>
      <c r="HN85" t="s">
        <v>3</v>
      </c>
      <c r="HO85" t="s">
        <v>3</v>
      </c>
      <c r="HP85" t="s">
        <v>3</v>
      </c>
      <c r="HQ85" t="s">
        <v>3</v>
      </c>
      <c r="IK85">
        <v>0</v>
      </c>
    </row>
    <row r="86" spans="1:245" x14ac:dyDescent="0.2">
      <c r="A86">
        <v>18</v>
      </c>
      <c r="B86">
        <v>1</v>
      </c>
      <c r="C86">
        <v>49</v>
      </c>
      <c r="E86" t="s">
        <v>189</v>
      </c>
      <c r="F86" t="s">
        <v>154</v>
      </c>
      <c r="G86" t="s">
        <v>155</v>
      </c>
      <c r="H86" t="s">
        <v>64</v>
      </c>
      <c r="I86">
        <f>I85*J86</f>
        <v>0.11543999999999999</v>
      </c>
      <c r="J86">
        <v>0.14429999999999998</v>
      </c>
      <c r="K86">
        <v>0.14430000000000001</v>
      </c>
      <c r="O86">
        <f t="shared" si="106"/>
        <v>2828.75</v>
      </c>
      <c r="P86">
        <f t="shared" si="107"/>
        <v>2828.75</v>
      </c>
      <c r="Q86">
        <f t="shared" si="108"/>
        <v>0</v>
      </c>
      <c r="R86">
        <f t="shared" si="109"/>
        <v>0</v>
      </c>
      <c r="S86">
        <f t="shared" si="110"/>
        <v>0</v>
      </c>
      <c r="T86">
        <f t="shared" si="111"/>
        <v>0</v>
      </c>
      <c r="U86">
        <f t="shared" si="112"/>
        <v>0</v>
      </c>
      <c r="V86">
        <f t="shared" si="113"/>
        <v>0</v>
      </c>
      <c r="W86">
        <f t="shared" si="114"/>
        <v>0</v>
      </c>
      <c r="X86">
        <f t="shared" si="115"/>
        <v>0</v>
      </c>
      <c r="Y86">
        <f t="shared" si="115"/>
        <v>0</v>
      </c>
      <c r="AA86">
        <v>59267179</v>
      </c>
      <c r="AB86">
        <f t="shared" si="116"/>
        <v>7879.13</v>
      </c>
      <c r="AC86">
        <f t="shared" si="117"/>
        <v>7879.13</v>
      </c>
      <c r="AD86">
        <f t="shared" si="117"/>
        <v>0</v>
      </c>
      <c r="AE86">
        <f t="shared" si="117"/>
        <v>0</v>
      </c>
      <c r="AF86">
        <f t="shared" si="117"/>
        <v>0</v>
      </c>
      <c r="AG86">
        <f t="shared" si="118"/>
        <v>0</v>
      </c>
      <c r="AH86">
        <f t="shared" si="119"/>
        <v>0</v>
      </c>
      <c r="AI86">
        <f t="shared" si="119"/>
        <v>0</v>
      </c>
      <c r="AJ86">
        <f t="shared" si="120"/>
        <v>0</v>
      </c>
      <c r="AK86">
        <v>7879.13</v>
      </c>
      <c r="AL86">
        <v>7879.13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1</v>
      </c>
      <c r="AW86">
        <v>1</v>
      </c>
      <c r="AZ86">
        <v>1</v>
      </c>
      <c r="BA86">
        <v>1</v>
      </c>
      <c r="BB86">
        <v>1</v>
      </c>
      <c r="BC86">
        <v>3.11</v>
      </c>
      <c r="BD86" t="s">
        <v>3</v>
      </c>
      <c r="BE86" t="s">
        <v>3</v>
      </c>
      <c r="BF86" t="s">
        <v>3</v>
      </c>
      <c r="BG86" t="s">
        <v>3</v>
      </c>
      <c r="BH86">
        <v>3</v>
      </c>
      <c r="BI86">
        <v>1</v>
      </c>
      <c r="BJ86" t="s">
        <v>156</v>
      </c>
      <c r="BM86">
        <v>61</v>
      </c>
      <c r="BN86">
        <v>0</v>
      </c>
      <c r="BO86" t="s">
        <v>154</v>
      </c>
      <c r="BP86">
        <v>1</v>
      </c>
      <c r="BQ86">
        <v>30</v>
      </c>
      <c r="BR86">
        <v>0</v>
      </c>
      <c r="BS86">
        <v>1</v>
      </c>
      <c r="BT86">
        <v>1</v>
      </c>
      <c r="BU86">
        <v>1</v>
      </c>
      <c r="BV86">
        <v>1</v>
      </c>
      <c r="BW86">
        <v>1</v>
      </c>
      <c r="BX86">
        <v>1</v>
      </c>
      <c r="BY86" t="s">
        <v>3</v>
      </c>
      <c r="BZ86">
        <v>0</v>
      </c>
      <c r="CA86">
        <v>0</v>
      </c>
      <c r="CB86" t="s">
        <v>3</v>
      </c>
      <c r="CE86">
        <v>0</v>
      </c>
      <c r="CF86">
        <v>0</v>
      </c>
      <c r="CG86">
        <v>0</v>
      </c>
      <c r="CM86">
        <v>0</v>
      </c>
      <c r="CN86" t="s">
        <v>3</v>
      </c>
      <c r="CO86">
        <v>0</v>
      </c>
      <c r="CP86">
        <f t="shared" si="121"/>
        <v>2828.75</v>
      </c>
      <c r="CQ86">
        <f t="shared" si="122"/>
        <v>24504.094300000001</v>
      </c>
      <c r="CR86">
        <f t="shared" si="123"/>
        <v>0</v>
      </c>
      <c r="CS86">
        <f t="shared" si="124"/>
        <v>0</v>
      </c>
      <c r="CT86">
        <f t="shared" si="125"/>
        <v>0</v>
      </c>
      <c r="CU86">
        <f t="shared" si="126"/>
        <v>0</v>
      </c>
      <c r="CV86">
        <f t="shared" si="127"/>
        <v>0</v>
      </c>
      <c r="CW86">
        <f t="shared" si="128"/>
        <v>0</v>
      </c>
      <c r="CX86">
        <f t="shared" si="128"/>
        <v>0</v>
      </c>
      <c r="CY86">
        <f t="shared" si="129"/>
        <v>0</v>
      </c>
      <c r="CZ86">
        <f t="shared" si="130"/>
        <v>0</v>
      </c>
      <c r="DC86" t="s">
        <v>3</v>
      </c>
      <c r="DD86" t="s">
        <v>3</v>
      </c>
      <c r="DE86" t="s">
        <v>3</v>
      </c>
      <c r="DF86" t="s">
        <v>3</v>
      </c>
      <c r="DG86" t="s">
        <v>3</v>
      </c>
      <c r="DH86" t="s">
        <v>3</v>
      </c>
      <c r="DI86" t="s">
        <v>3</v>
      </c>
      <c r="DJ86" t="s">
        <v>3</v>
      </c>
      <c r="DK86" t="s">
        <v>3</v>
      </c>
      <c r="DL86" t="s">
        <v>3</v>
      </c>
      <c r="DM86" t="s">
        <v>3</v>
      </c>
      <c r="DN86">
        <v>105</v>
      </c>
      <c r="DO86">
        <v>77</v>
      </c>
      <c r="DP86">
        <v>1.0469999999999999</v>
      </c>
      <c r="DQ86">
        <v>1</v>
      </c>
      <c r="DU86">
        <v>1009</v>
      </c>
      <c r="DV86" t="s">
        <v>64</v>
      </c>
      <c r="DW86" t="s">
        <v>64</v>
      </c>
      <c r="DX86">
        <v>1000</v>
      </c>
      <c r="DZ86" t="s">
        <v>3</v>
      </c>
      <c r="EA86" t="s">
        <v>3</v>
      </c>
      <c r="EB86" t="s">
        <v>3</v>
      </c>
      <c r="EC86" t="s">
        <v>3</v>
      </c>
      <c r="EE86">
        <v>42063665</v>
      </c>
      <c r="EF86">
        <v>30</v>
      </c>
      <c r="EG86" t="s">
        <v>25</v>
      </c>
      <c r="EH86">
        <v>0</v>
      </c>
      <c r="EI86" t="s">
        <v>3</v>
      </c>
      <c r="EJ86">
        <v>1</v>
      </c>
      <c r="EK86">
        <v>61</v>
      </c>
      <c r="EL86" t="s">
        <v>34</v>
      </c>
      <c r="EM86" t="s">
        <v>35</v>
      </c>
      <c r="EO86" t="s">
        <v>3</v>
      </c>
      <c r="EQ86">
        <v>0</v>
      </c>
      <c r="ER86">
        <v>7879.13</v>
      </c>
      <c r="ES86">
        <v>7879.13</v>
      </c>
      <c r="ET86">
        <v>0</v>
      </c>
      <c r="EU86">
        <v>0</v>
      </c>
      <c r="EV86">
        <v>0</v>
      </c>
      <c r="EW86">
        <v>0</v>
      </c>
      <c r="EX86">
        <v>0</v>
      </c>
      <c r="FQ86">
        <v>0</v>
      </c>
      <c r="FR86">
        <f t="shared" si="131"/>
        <v>0</v>
      </c>
      <c r="FS86">
        <v>0</v>
      </c>
      <c r="FX86">
        <v>105</v>
      </c>
      <c r="FY86">
        <v>77</v>
      </c>
      <c r="GA86" t="s">
        <v>3</v>
      </c>
      <c r="GD86">
        <v>0</v>
      </c>
      <c r="GF86">
        <v>-317801489</v>
      </c>
      <c r="GG86">
        <v>2</v>
      </c>
      <c r="GH86">
        <v>1</v>
      </c>
      <c r="GI86">
        <v>2</v>
      </c>
      <c r="GJ86">
        <v>0</v>
      </c>
      <c r="GK86">
        <f>ROUND(R86*(R12)/100,2)</f>
        <v>0</v>
      </c>
      <c r="GL86">
        <f t="shared" si="132"/>
        <v>0</v>
      </c>
      <c r="GM86">
        <f t="shared" si="133"/>
        <v>2828.75</v>
      </c>
      <c r="GN86">
        <f t="shared" si="134"/>
        <v>2828.75</v>
      </c>
      <c r="GO86">
        <f t="shared" si="135"/>
        <v>0</v>
      </c>
      <c r="GP86">
        <f t="shared" si="136"/>
        <v>0</v>
      </c>
      <c r="GR86">
        <v>0</v>
      </c>
      <c r="GS86">
        <v>3</v>
      </c>
      <c r="GT86">
        <v>0</v>
      </c>
      <c r="GU86" t="s">
        <v>3</v>
      </c>
      <c r="GV86">
        <f t="shared" si="137"/>
        <v>0</v>
      </c>
      <c r="GW86">
        <v>1</v>
      </c>
      <c r="GX86">
        <f t="shared" si="138"/>
        <v>0</v>
      </c>
      <c r="HA86">
        <v>0</v>
      </c>
      <c r="HB86">
        <v>0</v>
      </c>
      <c r="HC86">
        <f t="shared" si="139"/>
        <v>0</v>
      </c>
      <c r="HE86" t="s">
        <v>3</v>
      </c>
      <c r="HF86" t="s">
        <v>3</v>
      </c>
      <c r="HM86" t="s">
        <v>3</v>
      </c>
      <c r="HN86" t="s">
        <v>3</v>
      </c>
      <c r="HO86" t="s">
        <v>3</v>
      </c>
      <c r="HP86" t="s">
        <v>3</v>
      </c>
      <c r="HQ86" t="s">
        <v>3</v>
      </c>
      <c r="IK86">
        <v>0</v>
      </c>
    </row>
    <row r="87" spans="1:245" x14ac:dyDescent="0.2">
      <c r="A87">
        <v>17</v>
      </c>
      <c r="B87">
        <v>1</v>
      </c>
      <c r="C87">
        <f>ROW(SmtRes!A51)</f>
        <v>51</v>
      </c>
      <c r="D87">
        <f>ROW(EtalonRes!A45)</f>
        <v>45</v>
      </c>
      <c r="E87" t="s">
        <v>190</v>
      </c>
      <c r="F87" t="s">
        <v>191</v>
      </c>
      <c r="G87" t="s">
        <v>192</v>
      </c>
      <c r="H87" t="s">
        <v>193</v>
      </c>
      <c r="I87">
        <v>0.23</v>
      </c>
      <c r="J87">
        <v>0</v>
      </c>
      <c r="K87">
        <v>0.23</v>
      </c>
      <c r="O87">
        <f t="shared" si="106"/>
        <v>1984.99</v>
      </c>
      <c r="P87">
        <f t="shared" si="107"/>
        <v>431.66</v>
      </c>
      <c r="Q87">
        <f t="shared" si="108"/>
        <v>304.11</v>
      </c>
      <c r="R87">
        <f t="shared" si="109"/>
        <v>78.59</v>
      </c>
      <c r="S87">
        <f t="shared" si="110"/>
        <v>1249.22</v>
      </c>
      <c r="T87">
        <f t="shared" si="111"/>
        <v>0</v>
      </c>
      <c r="U87">
        <f t="shared" si="112"/>
        <v>3.5339039999999997</v>
      </c>
      <c r="V87">
        <f t="shared" si="113"/>
        <v>0</v>
      </c>
      <c r="W87">
        <f t="shared" si="114"/>
        <v>0</v>
      </c>
      <c r="X87">
        <f t="shared" si="115"/>
        <v>1149.28</v>
      </c>
      <c r="Y87">
        <f t="shared" si="115"/>
        <v>537.16</v>
      </c>
      <c r="AA87">
        <v>59267179</v>
      </c>
      <c r="AB87">
        <f t="shared" si="116"/>
        <v>522.36</v>
      </c>
      <c r="AC87">
        <f t="shared" si="117"/>
        <v>210.7</v>
      </c>
      <c r="AD87">
        <f t="shared" si="117"/>
        <v>134.11000000000001</v>
      </c>
      <c r="AE87">
        <f t="shared" si="117"/>
        <v>11.17</v>
      </c>
      <c r="AF87">
        <f t="shared" si="117"/>
        <v>177.55</v>
      </c>
      <c r="AG87">
        <f t="shared" si="118"/>
        <v>0</v>
      </c>
      <c r="AH87">
        <f t="shared" si="119"/>
        <v>14.4</v>
      </c>
      <c r="AI87">
        <f t="shared" si="119"/>
        <v>0</v>
      </c>
      <c r="AJ87">
        <f t="shared" si="120"/>
        <v>0</v>
      </c>
      <c r="AK87">
        <v>522.36</v>
      </c>
      <c r="AL87">
        <v>210.7</v>
      </c>
      <c r="AM87">
        <v>134.11000000000001</v>
      </c>
      <c r="AN87">
        <v>11.17</v>
      </c>
      <c r="AO87">
        <v>177.55</v>
      </c>
      <c r="AP87">
        <v>0</v>
      </c>
      <c r="AQ87">
        <v>14.4</v>
      </c>
      <c r="AR87">
        <v>0</v>
      </c>
      <c r="AS87">
        <v>0</v>
      </c>
      <c r="AT87">
        <v>92</v>
      </c>
      <c r="AU87">
        <v>43</v>
      </c>
      <c r="AV87">
        <v>1.0669999999999999</v>
      </c>
      <c r="AW87">
        <v>1.081</v>
      </c>
      <c r="AZ87">
        <v>1</v>
      </c>
      <c r="BA87">
        <v>28.67</v>
      </c>
      <c r="BB87">
        <v>9.24</v>
      </c>
      <c r="BC87">
        <v>8.24</v>
      </c>
      <c r="BD87" t="s">
        <v>3</v>
      </c>
      <c r="BE87" t="s">
        <v>3</v>
      </c>
      <c r="BF87" t="s">
        <v>3</v>
      </c>
      <c r="BG87" t="s">
        <v>3</v>
      </c>
      <c r="BH87">
        <v>0</v>
      </c>
      <c r="BI87">
        <v>2</v>
      </c>
      <c r="BJ87" t="s">
        <v>194</v>
      </c>
      <c r="BM87">
        <v>332</v>
      </c>
      <c r="BN87">
        <v>0</v>
      </c>
      <c r="BO87" t="s">
        <v>191</v>
      </c>
      <c r="BP87">
        <v>1</v>
      </c>
      <c r="BQ87">
        <v>40</v>
      </c>
      <c r="BR87">
        <v>0</v>
      </c>
      <c r="BS87">
        <v>28.67</v>
      </c>
      <c r="BT87">
        <v>1</v>
      </c>
      <c r="BU87">
        <v>1</v>
      </c>
      <c r="BV87">
        <v>1</v>
      </c>
      <c r="BW87">
        <v>1</v>
      </c>
      <c r="BX87">
        <v>1</v>
      </c>
      <c r="BY87" t="s">
        <v>3</v>
      </c>
      <c r="BZ87">
        <v>92</v>
      </c>
      <c r="CA87">
        <v>43</v>
      </c>
      <c r="CB87" t="s">
        <v>3</v>
      </c>
      <c r="CE87">
        <v>0</v>
      </c>
      <c r="CF87">
        <v>0</v>
      </c>
      <c r="CG87">
        <v>0</v>
      </c>
      <c r="CM87">
        <v>0</v>
      </c>
      <c r="CN87" t="s">
        <v>3</v>
      </c>
      <c r="CO87">
        <v>0</v>
      </c>
      <c r="CP87">
        <f t="shared" si="121"/>
        <v>1984.99</v>
      </c>
      <c r="CQ87">
        <f t="shared" si="122"/>
        <v>1876.7976079999999</v>
      </c>
      <c r="CR87">
        <f t="shared" si="123"/>
        <v>1322.2012188000001</v>
      </c>
      <c r="CS87">
        <f t="shared" si="124"/>
        <v>341.70024129999996</v>
      </c>
      <c r="CT87">
        <f t="shared" si="125"/>
        <v>5431.4125194999997</v>
      </c>
      <c r="CU87">
        <f t="shared" si="126"/>
        <v>0</v>
      </c>
      <c r="CV87">
        <f t="shared" si="127"/>
        <v>15.364799999999999</v>
      </c>
      <c r="CW87">
        <f t="shared" si="128"/>
        <v>0</v>
      </c>
      <c r="CX87">
        <f t="shared" si="128"/>
        <v>0</v>
      </c>
      <c r="CY87">
        <f t="shared" si="129"/>
        <v>1149.2824000000001</v>
      </c>
      <c r="CZ87">
        <f t="shared" si="130"/>
        <v>537.16459999999995</v>
      </c>
      <c r="DC87" t="s">
        <v>3</v>
      </c>
      <c r="DD87" t="s">
        <v>3</v>
      </c>
      <c r="DE87" t="s">
        <v>3</v>
      </c>
      <c r="DF87" t="s">
        <v>3</v>
      </c>
      <c r="DG87" t="s">
        <v>3</v>
      </c>
      <c r="DH87" t="s">
        <v>3</v>
      </c>
      <c r="DI87" t="s">
        <v>3</v>
      </c>
      <c r="DJ87" t="s">
        <v>3</v>
      </c>
      <c r="DK87" t="s">
        <v>3</v>
      </c>
      <c r="DL87" t="s">
        <v>3</v>
      </c>
      <c r="DM87" t="s">
        <v>3</v>
      </c>
      <c r="DN87">
        <v>112</v>
      </c>
      <c r="DO87">
        <v>70</v>
      </c>
      <c r="DP87">
        <v>1.0669999999999999</v>
      </c>
      <c r="DQ87">
        <v>1.081</v>
      </c>
      <c r="DU87">
        <v>1003</v>
      </c>
      <c r="DV87" t="s">
        <v>193</v>
      </c>
      <c r="DW87" t="s">
        <v>193</v>
      </c>
      <c r="DX87">
        <v>100</v>
      </c>
      <c r="DZ87" t="s">
        <v>3</v>
      </c>
      <c r="EA87" t="s">
        <v>3</v>
      </c>
      <c r="EB87" t="s">
        <v>3</v>
      </c>
      <c r="EC87" t="s">
        <v>3</v>
      </c>
      <c r="EE87">
        <v>42063936</v>
      </c>
      <c r="EF87">
        <v>40</v>
      </c>
      <c r="EG87" t="s">
        <v>42</v>
      </c>
      <c r="EH87">
        <v>0</v>
      </c>
      <c r="EI87" t="s">
        <v>3</v>
      </c>
      <c r="EJ87">
        <v>2</v>
      </c>
      <c r="EK87">
        <v>332</v>
      </c>
      <c r="EL87" t="s">
        <v>187</v>
      </c>
      <c r="EM87" t="s">
        <v>188</v>
      </c>
      <c r="EO87" t="s">
        <v>3</v>
      </c>
      <c r="EQ87">
        <v>0</v>
      </c>
      <c r="ER87">
        <v>522.36</v>
      </c>
      <c r="ES87">
        <v>210.7</v>
      </c>
      <c r="ET87">
        <v>134.11000000000001</v>
      </c>
      <c r="EU87">
        <v>11.17</v>
      </c>
      <c r="EV87">
        <v>177.55</v>
      </c>
      <c r="EW87">
        <v>14.4</v>
      </c>
      <c r="EX87">
        <v>0</v>
      </c>
      <c r="EY87">
        <v>0</v>
      </c>
      <c r="FQ87">
        <v>0</v>
      </c>
      <c r="FR87">
        <f t="shared" si="131"/>
        <v>0</v>
      </c>
      <c r="FS87">
        <v>0</v>
      </c>
      <c r="FX87">
        <v>112</v>
      </c>
      <c r="FY87">
        <v>70</v>
      </c>
      <c r="GA87" t="s">
        <v>3</v>
      </c>
      <c r="GD87">
        <v>0</v>
      </c>
      <c r="GF87">
        <v>1916190678</v>
      </c>
      <c r="GG87">
        <v>2</v>
      </c>
      <c r="GH87">
        <v>1</v>
      </c>
      <c r="GI87">
        <v>2</v>
      </c>
      <c r="GJ87">
        <v>0</v>
      </c>
      <c r="GK87">
        <f>ROUND(R87*(R12)/100,2)</f>
        <v>125.74</v>
      </c>
      <c r="GL87">
        <f t="shared" si="132"/>
        <v>0</v>
      </c>
      <c r="GM87">
        <f t="shared" si="133"/>
        <v>3797.17</v>
      </c>
      <c r="GN87">
        <f t="shared" si="134"/>
        <v>0</v>
      </c>
      <c r="GO87">
        <f t="shared" si="135"/>
        <v>3797.17</v>
      </c>
      <c r="GP87">
        <f t="shared" si="136"/>
        <v>0</v>
      </c>
      <c r="GR87">
        <v>0</v>
      </c>
      <c r="GS87">
        <v>3</v>
      </c>
      <c r="GT87">
        <v>0</v>
      </c>
      <c r="GU87" t="s">
        <v>3</v>
      </c>
      <c r="GV87">
        <f t="shared" si="137"/>
        <v>0</v>
      </c>
      <c r="GW87">
        <v>1</v>
      </c>
      <c r="GX87">
        <f t="shared" si="138"/>
        <v>0</v>
      </c>
      <c r="HA87">
        <v>0</v>
      </c>
      <c r="HB87">
        <v>0</v>
      </c>
      <c r="HC87">
        <f t="shared" si="139"/>
        <v>0</v>
      </c>
      <c r="HE87" t="s">
        <v>3</v>
      </c>
      <c r="HF87" t="s">
        <v>3</v>
      </c>
      <c r="HM87" t="s">
        <v>3</v>
      </c>
      <c r="HN87" t="s">
        <v>3</v>
      </c>
      <c r="HO87" t="s">
        <v>3</v>
      </c>
      <c r="HP87" t="s">
        <v>3</v>
      </c>
      <c r="HQ87" t="s">
        <v>3</v>
      </c>
      <c r="IK87">
        <v>0</v>
      </c>
    </row>
    <row r="88" spans="1:245" x14ac:dyDescent="0.2">
      <c r="A88">
        <v>18</v>
      </c>
      <c r="B88">
        <v>1</v>
      </c>
      <c r="C88">
        <v>51</v>
      </c>
      <c r="E88" t="s">
        <v>195</v>
      </c>
      <c r="F88" t="s">
        <v>196</v>
      </c>
      <c r="G88" t="s">
        <v>197</v>
      </c>
      <c r="H88" t="s">
        <v>64</v>
      </c>
      <c r="I88">
        <f>I87*J88</f>
        <v>3.6110000000000003E-2</v>
      </c>
      <c r="J88">
        <v>0.157</v>
      </c>
      <c r="K88">
        <v>0.157</v>
      </c>
      <c r="O88">
        <f t="shared" si="106"/>
        <v>1126.5899999999999</v>
      </c>
      <c r="P88">
        <f t="shared" si="107"/>
        <v>1126.5899999999999</v>
      </c>
      <c r="Q88">
        <f t="shared" si="108"/>
        <v>0</v>
      </c>
      <c r="R88">
        <f t="shared" si="109"/>
        <v>0</v>
      </c>
      <c r="S88">
        <f t="shared" si="110"/>
        <v>0</v>
      </c>
      <c r="T88">
        <f t="shared" si="111"/>
        <v>0</v>
      </c>
      <c r="U88">
        <f t="shared" si="112"/>
        <v>0</v>
      </c>
      <c r="V88">
        <f t="shared" si="113"/>
        <v>0</v>
      </c>
      <c r="W88">
        <f t="shared" si="114"/>
        <v>0</v>
      </c>
      <c r="X88">
        <f t="shared" si="115"/>
        <v>0</v>
      </c>
      <c r="Y88">
        <f t="shared" si="115"/>
        <v>0</v>
      </c>
      <c r="AA88">
        <v>59267179</v>
      </c>
      <c r="AB88">
        <f t="shared" si="116"/>
        <v>6500.22</v>
      </c>
      <c r="AC88">
        <f t="shared" si="117"/>
        <v>6500.22</v>
      </c>
      <c r="AD88">
        <f t="shared" si="117"/>
        <v>0</v>
      </c>
      <c r="AE88">
        <f t="shared" si="117"/>
        <v>0</v>
      </c>
      <c r="AF88">
        <f t="shared" si="117"/>
        <v>0</v>
      </c>
      <c r="AG88">
        <f t="shared" si="118"/>
        <v>0</v>
      </c>
      <c r="AH88">
        <f t="shared" si="119"/>
        <v>0</v>
      </c>
      <c r="AI88">
        <f t="shared" si="119"/>
        <v>0</v>
      </c>
      <c r="AJ88">
        <f t="shared" si="120"/>
        <v>0</v>
      </c>
      <c r="AK88">
        <v>6500.22</v>
      </c>
      <c r="AL88">
        <v>6500.22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1</v>
      </c>
      <c r="AW88">
        <v>1.081</v>
      </c>
      <c r="AZ88">
        <v>1</v>
      </c>
      <c r="BA88">
        <v>1</v>
      </c>
      <c r="BB88">
        <v>1</v>
      </c>
      <c r="BC88">
        <v>4.4400000000000004</v>
      </c>
      <c r="BD88" t="s">
        <v>3</v>
      </c>
      <c r="BE88" t="s">
        <v>3</v>
      </c>
      <c r="BF88" t="s">
        <v>3</v>
      </c>
      <c r="BG88" t="s">
        <v>3</v>
      </c>
      <c r="BH88">
        <v>3</v>
      </c>
      <c r="BI88">
        <v>2</v>
      </c>
      <c r="BJ88" t="s">
        <v>198</v>
      </c>
      <c r="BM88">
        <v>332</v>
      </c>
      <c r="BN88">
        <v>0</v>
      </c>
      <c r="BO88" t="s">
        <v>196</v>
      </c>
      <c r="BP88">
        <v>1</v>
      </c>
      <c r="BQ88">
        <v>40</v>
      </c>
      <c r="BR88">
        <v>0</v>
      </c>
      <c r="BS88">
        <v>1</v>
      </c>
      <c r="BT88">
        <v>1</v>
      </c>
      <c r="BU88">
        <v>1</v>
      </c>
      <c r="BV88">
        <v>1</v>
      </c>
      <c r="BW88">
        <v>1</v>
      </c>
      <c r="BX88">
        <v>1</v>
      </c>
      <c r="BY88" t="s">
        <v>3</v>
      </c>
      <c r="BZ88">
        <v>0</v>
      </c>
      <c r="CA88">
        <v>0</v>
      </c>
      <c r="CB88" t="s">
        <v>3</v>
      </c>
      <c r="CE88">
        <v>0</v>
      </c>
      <c r="CF88">
        <v>0</v>
      </c>
      <c r="CG88">
        <v>0</v>
      </c>
      <c r="CM88">
        <v>0</v>
      </c>
      <c r="CN88" t="s">
        <v>3</v>
      </c>
      <c r="CO88">
        <v>0</v>
      </c>
      <c r="CP88">
        <f t="shared" si="121"/>
        <v>1126.5899999999999</v>
      </c>
      <c r="CQ88">
        <f t="shared" si="122"/>
        <v>31198.715920800005</v>
      </c>
      <c r="CR88">
        <f t="shared" si="123"/>
        <v>0</v>
      </c>
      <c r="CS88">
        <f t="shared" si="124"/>
        <v>0</v>
      </c>
      <c r="CT88">
        <f t="shared" si="125"/>
        <v>0</v>
      </c>
      <c r="CU88">
        <f t="shared" si="126"/>
        <v>0</v>
      </c>
      <c r="CV88">
        <f t="shared" si="127"/>
        <v>0</v>
      </c>
      <c r="CW88">
        <f t="shared" si="128"/>
        <v>0</v>
      </c>
      <c r="CX88">
        <f t="shared" si="128"/>
        <v>0</v>
      </c>
      <c r="CY88">
        <f t="shared" si="129"/>
        <v>0</v>
      </c>
      <c r="CZ88">
        <f t="shared" si="130"/>
        <v>0</v>
      </c>
      <c r="DC88" t="s">
        <v>3</v>
      </c>
      <c r="DD88" t="s">
        <v>3</v>
      </c>
      <c r="DE88" t="s">
        <v>3</v>
      </c>
      <c r="DF88" t="s">
        <v>3</v>
      </c>
      <c r="DG88" t="s">
        <v>3</v>
      </c>
      <c r="DH88" t="s">
        <v>3</v>
      </c>
      <c r="DI88" t="s">
        <v>3</v>
      </c>
      <c r="DJ88" t="s">
        <v>3</v>
      </c>
      <c r="DK88" t="s">
        <v>3</v>
      </c>
      <c r="DL88" t="s">
        <v>3</v>
      </c>
      <c r="DM88" t="s">
        <v>3</v>
      </c>
      <c r="DN88">
        <v>112</v>
      </c>
      <c r="DO88">
        <v>70</v>
      </c>
      <c r="DP88">
        <v>1.0669999999999999</v>
      </c>
      <c r="DQ88">
        <v>1.081</v>
      </c>
      <c r="DU88">
        <v>1009</v>
      </c>
      <c r="DV88" t="s">
        <v>64</v>
      </c>
      <c r="DW88" t="s">
        <v>64</v>
      </c>
      <c r="DX88">
        <v>1000</v>
      </c>
      <c r="DZ88" t="s">
        <v>3</v>
      </c>
      <c r="EA88" t="s">
        <v>3</v>
      </c>
      <c r="EB88" t="s">
        <v>3</v>
      </c>
      <c r="EC88" t="s">
        <v>3</v>
      </c>
      <c r="EE88">
        <v>42063936</v>
      </c>
      <c r="EF88">
        <v>40</v>
      </c>
      <c r="EG88" t="s">
        <v>42</v>
      </c>
      <c r="EH88">
        <v>0</v>
      </c>
      <c r="EI88" t="s">
        <v>3</v>
      </c>
      <c r="EJ88">
        <v>2</v>
      </c>
      <c r="EK88">
        <v>332</v>
      </c>
      <c r="EL88" t="s">
        <v>187</v>
      </c>
      <c r="EM88" t="s">
        <v>188</v>
      </c>
      <c r="EO88" t="s">
        <v>3</v>
      </c>
      <c r="EQ88">
        <v>0</v>
      </c>
      <c r="ER88">
        <v>6500.22</v>
      </c>
      <c r="ES88">
        <v>6500.22</v>
      </c>
      <c r="ET88">
        <v>0</v>
      </c>
      <c r="EU88">
        <v>0</v>
      </c>
      <c r="EV88">
        <v>0</v>
      </c>
      <c r="EW88">
        <v>0</v>
      </c>
      <c r="EX88">
        <v>0</v>
      </c>
      <c r="FQ88">
        <v>0</v>
      </c>
      <c r="FR88">
        <f t="shared" si="131"/>
        <v>0</v>
      </c>
      <c r="FS88">
        <v>0</v>
      </c>
      <c r="FX88">
        <v>112</v>
      </c>
      <c r="FY88">
        <v>70</v>
      </c>
      <c r="GA88" t="s">
        <v>3</v>
      </c>
      <c r="GD88">
        <v>0</v>
      </c>
      <c r="GF88">
        <v>1134268875</v>
      </c>
      <c r="GG88">
        <v>2</v>
      </c>
      <c r="GH88">
        <v>1</v>
      </c>
      <c r="GI88">
        <v>2</v>
      </c>
      <c r="GJ88">
        <v>0</v>
      </c>
      <c r="GK88">
        <f>ROUND(R88*(R12)/100,2)</f>
        <v>0</v>
      </c>
      <c r="GL88">
        <f t="shared" si="132"/>
        <v>0</v>
      </c>
      <c r="GM88">
        <f t="shared" si="133"/>
        <v>1126.5899999999999</v>
      </c>
      <c r="GN88">
        <f t="shared" si="134"/>
        <v>0</v>
      </c>
      <c r="GO88">
        <f t="shared" si="135"/>
        <v>1126.5899999999999</v>
      </c>
      <c r="GP88">
        <f t="shared" si="136"/>
        <v>0</v>
      </c>
      <c r="GR88">
        <v>0</v>
      </c>
      <c r="GS88">
        <v>3</v>
      </c>
      <c r="GT88">
        <v>0</v>
      </c>
      <c r="GU88" t="s">
        <v>3</v>
      </c>
      <c r="GV88">
        <f t="shared" si="137"/>
        <v>0</v>
      </c>
      <c r="GW88">
        <v>1</v>
      </c>
      <c r="GX88">
        <f t="shared" si="138"/>
        <v>0</v>
      </c>
      <c r="HA88">
        <v>0</v>
      </c>
      <c r="HB88">
        <v>0</v>
      </c>
      <c r="HC88">
        <f t="shared" si="139"/>
        <v>0</v>
      </c>
      <c r="HE88" t="s">
        <v>3</v>
      </c>
      <c r="HF88" t="s">
        <v>3</v>
      </c>
      <c r="HM88" t="s">
        <v>3</v>
      </c>
      <c r="HN88" t="s">
        <v>3</v>
      </c>
      <c r="HO88" t="s">
        <v>3</v>
      </c>
      <c r="HP88" t="s">
        <v>3</v>
      </c>
      <c r="HQ88" t="s">
        <v>3</v>
      </c>
      <c r="IK88">
        <v>0</v>
      </c>
    </row>
    <row r="89" spans="1:245" x14ac:dyDescent="0.2">
      <c r="A89">
        <v>17</v>
      </c>
      <c r="B89">
        <v>1</v>
      </c>
      <c r="C89">
        <f>ROW(SmtRes!A53)</f>
        <v>53</v>
      </c>
      <c r="D89">
        <f>ROW(EtalonRes!A46)</f>
        <v>46</v>
      </c>
      <c r="E89" t="s">
        <v>199</v>
      </c>
      <c r="F89" t="s">
        <v>200</v>
      </c>
      <c r="G89" t="s">
        <v>201</v>
      </c>
      <c r="H89" t="s">
        <v>193</v>
      </c>
      <c r="I89">
        <v>0.02</v>
      </c>
      <c r="J89">
        <v>0</v>
      </c>
      <c r="K89">
        <v>0.02</v>
      </c>
      <c r="O89">
        <f t="shared" si="106"/>
        <v>243.63</v>
      </c>
      <c r="P89">
        <f t="shared" si="107"/>
        <v>75.319999999999993</v>
      </c>
      <c r="Q89">
        <f t="shared" si="108"/>
        <v>28.75</v>
      </c>
      <c r="R89">
        <f t="shared" si="109"/>
        <v>7.52</v>
      </c>
      <c r="S89">
        <f t="shared" si="110"/>
        <v>139.56</v>
      </c>
      <c r="T89">
        <f t="shared" si="111"/>
        <v>0</v>
      </c>
      <c r="U89">
        <f t="shared" si="112"/>
        <v>0.39478999999999997</v>
      </c>
      <c r="V89">
        <f t="shared" si="113"/>
        <v>0</v>
      </c>
      <c r="W89">
        <f t="shared" si="114"/>
        <v>0</v>
      </c>
      <c r="X89">
        <f t="shared" si="115"/>
        <v>128.4</v>
      </c>
      <c r="Y89">
        <f t="shared" si="115"/>
        <v>60.01</v>
      </c>
      <c r="AA89">
        <v>59267179</v>
      </c>
      <c r="AB89">
        <f t="shared" si="116"/>
        <v>796.23</v>
      </c>
      <c r="AC89">
        <f t="shared" si="117"/>
        <v>422.8</v>
      </c>
      <c r="AD89">
        <f t="shared" si="117"/>
        <v>145.33000000000001</v>
      </c>
      <c r="AE89">
        <f t="shared" si="117"/>
        <v>12.29</v>
      </c>
      <c r="AF89">
        <f t="shared" si="117"/>
        <v>228.1</v>
      </c>
      <c r="AG89">
        <f t="shared" si="118"/>
        <v>0</v>
      </c>
      <c r="AH89">
        <f t="shared" si="119"/>
        <v>18.5</v>
      </c>
      <c r="AI89">
        <f t="shared" si="119"/>
        <v>0</v>
      </c>
      <c r="AJ89">
        <f t="shared" si="120"/>
        <v>0</v>
      </c>
      <c r="AK89">
        <v>796.23</v>
      </c>
      <c r="AL89">
        <v>422.8</v>
      </c>
      <c r="AM89">
        <v>145.33000000000001</v>
      </c>
      <c r="AN89">
        <v>12.29</v>
      </c>
      <c r="AO89">
        <v>228.1</v>
      </c>
      <c r="AP89">
        <v>0</v>
      </c>
      <c r="AQ89">
        <v>18.5</v>
      </c>
      <c r="AR89">
        <v>0</v>
      </c>
      <c r="AS89">
        <v>0</v>
      </c>
      <c r="AT89">
        <v>92</v>
      </c>
      <c r="AU89">
        <v>43</v>
      </c>
      <c r="AV89">
        <v>1.0669999999999999</v>
      </c>
      <c r="AW89">
        <v>1.081</v>
      </c>
      <c r="AZ89">
        <v>1</v>
      </c>
      <c r="BA89">
        <v>28.67</v>
      </c>
      <c r="BB89">
        <v>9.27</v>
      </c>
      <c r="BC89">
        <v>8.24</v>
      </c>
      <c r="BD89" t="s">
        <v>3</v>
      </c>
      <c r="BE89" t="s">
        <v>3</v>
      </c>
      <c r="BF89" t="s">
        <v>3</v>
      </c>
      <c r="BG89" t="s">
        <v>3</v>
      </c>
      <c r="BH89">
        <v>0</v>
      </c>
      <c r="BI89">
        <v>2</v>
      </c>
      <c r="BJ89" t="s">
        <v>202</v>
      </c>
      <c r="BM89">
        <v>332</v>
      </c>
      <c r="BN89">
        <v>0</v>
      </c>
      <c r="BO89" t="s">
        <v>200</v>
      </c>
      <c r="BP89">
        <v>1</v>
      </c>
      <c r="BQ89">
        <v>40</v>
      </c>
      <c r="BR89">
        <v>0</v>
      </c>
      <c r="BS89">
        <v>28.67</v>
      </c>
      <c r="BT89">
        <v>1</v>
      </c>
      <c r="BU89">
        <v>1</v>
      </c>
      <c r="BV89">
        <v>1</v>
      </c>
      <c r="BW89">
        <v>1</v>
      </c>
      <c r="BX89">
        <v>1</v>
      </c>
      <c r="BY89" t="s">
        <v>3</v>
      </c>
      <c r="BZ89">
        <v>92</v>
      </c>
      <c r="CA89">
        <v>43</v>
      </c>
      <c r="CB89" t="s">
        <v>3</v>
      </c>
      <c r="CE89">
        <v>0</v>
      </c>
      <c r="CF89">
        <v>0</v>
      </c>
      <c r="CG89">
        <v>0</v>
      </c>
      <c r="CM89">
        <v>0</v>
      </c>
      <c r="CN89" t="s">
        <v>3</v>
      </c>
      <c r="CO89">
        <v>0</v>
      </c>
      <c r="CP89">
        <f t="shared" si="121"/>
        <v>243.63</v>
      </c>
      <c r="CQ89">
        <f t="shared" si="122"/>
        <v>3766.0656320000003</v>
      </c>
      <c r="CR89">
        <f t="shared" si="123"/>
        <v>1437.4721096999999</v>
      </c>
      <c r="CS89">
        <f t="shared" si="124"/>
        <v>375.96203810000003</v>
      </c>
      <c r="CT89">
        <f t="shared" si="125"/>
        <v>6977.7820090000005</v>
      </c>
      <c r="CU89">
        <f t="shared" si="126"/>
        <v>0</v>
      </c>
      <c r="CV89">
        <f t="shared" si="127"/>
        <v>19.7395</v>
      </c>
      <c r="CW89">
        <f t="shared" si="128"/>
        <v>0</v>
      </c>
      <c r="CX89">
        <f t="shared" si="128"/>
        <v>0</v>
      </c>
      <c r="CY89">
        <f t="shared" si="129"/>
        <v>128.39520000000002</v>
      </c>
      <c r="CZ89">
        <f t="shared" si="130"/>
        <v>60.010800000000003</v>
      </c>
      <c r="DC89" t="s">
        <v>3</v>
      </c>
      <c r="DD89" t="s">
        <v>3</v>
      </c>
      <c r="DE89" t="s">
        <v>3</v>
      </c>
      <c r="DF89" t="s">
        <v>3</v>
      </c>
      <c r="DG89" t="s">
        <v>3</v>
      </c>
      <c r="DH89" t="s">
        <v>3</v>
      </c>
      <c r="DI89" t="s">
        <v>3</v>
      </c>
      <c r="DJ89" t="s">
        <v>3</v>
      </c>
      <c r="DK89" t="s">
        <v>3</v>
      </c>
      <c r="DL89" t="s">
        <v>3</v>
      </c>
      <c r="DM89" t="s">
        <v>3</v>
      </c>
      <c r="DN89">
        <v>112</v>
      </c>
      <c r="DO89">
        <v>70</v>
      </c>
      <c r="DP89">
        <v>1.0669999999999999</v>
      </c>
      <c r="DQ89">
        <v>1.081</v>
      </c>
      <c r="DU89">
        <v>1003</v>
      </c>
      <c r="DV89" t="s">
        <v>193</v>
      </c>
      <c r="DW89" t="s">
        <v>193</v>
      </c>
      <c r="DX89">
        <v>100</v>
      </c>
      <c r="DZ89" t="s">
        <v>3</v>
      </c>
      <c r="EA89" t="s">
        <v>3</v>
      </c>
      <c r="EB89" t="s">
        <v>3</v>
      </c>
      <c r="EC89" t="s">
        <v>3</v>
      </c>
      <c r="EE89">
        <v>42063936</v>
      </c>
      <c r="EF89">
        <v>40</v>
      </c>
      <c r="EG89" t="s">
        <v>42</v>
      </c>
      <c r="EH89">
        <v>0</v>
      </c>
      <c r="EI89" t="s">
        <v>3</v>
      </c>
      <c r="EJ89">
        <v>2</v>
      </c>
      <c r="EK89">
        <v>332</v>
      </c>
      <c r="EL89" t="s">
        <v>187</v>
      </c>
      <c r="EM89" t="s">
        <v>188</v>
      </c>
      <c r="EO89" t="s">
        <v>3</v>
      </c>
      <c r="EQ89">
        <v>0</v>
      </c>
      <c r="ER89">
        <v>796.23</v>
      </c>
      <c r="ES89">
        <v>422.8</v>
      </c>
      <c r="ET89">
        <v>145.33000000000001</v>
      </c>
      <c r="EU89">
        <v>12.29</v>
      </c>
      <c r="EV89">
        <v>228.1</v>
      </c>
      <c r="EW89">
        <v>18.5</v>
      </c>
      <c r="EX89">
        <v>0</v>
      </c>
      <c r="EY89">
        <v>0</v>
      </c>
      <c r="FQ89">
        <v>0</v>
      </c>
      <c r="FR89">
        <f t="shared" si="131"/>
        <v>0</v>
      </c>
      <c r="FS89">
        <v>0</v>
      </c>
      <c r="FX89">
        <v>112</v>
      </c>
      <c r="FY89">
        <v>70</v>
      </c>
      <c r="GA89" t="s">
        <v>3</v>
      </c>
      <c r="GD89">
        <v>0</v>
      </c>
      <c r="GF89">
        <v>-50774443</v>
      </c>
      <c r="GG89">
        <v>2</v>
      </c>
      <c r="GH89">
        <v>1</v>
      </c>
      <c r="GI89">
        <v>2</v>
      </c>
      <c r="GJ89">
        <v>0</v>
      </c>
      <c r="GK89">
        <f>ROUND(R89*(R12)/100,2)</f>
        <v>12.03</v>
      </c>
      <c r="GL89">
        <f t="shared" si="132"/>
        <v>0</v>
      </c>
      <c r="GM89">
        <f t="shared" si="133"/>
        <v>444.07</v>
      </c>
      <c r="GN89">
        <f t="shared" si="134"/>
        <v>0</v>
      </c>
      <c r="GO89">
        <f t="shared" si="135"/>
        <v>444.07</v>
      </c>
      <c r="GP89">
        <f t="shared" si="136"/>
        <v>0</v>
      </c>
      <c r="GR89">
        <v>0</v>
      </c>
      <c r="GS89">
        <v>3</v>
      </c>
      <c r="GT89">
        <v>0</v>
      </c>
      <c r="GU89" t="s">
        <v>3</v>
      </c>
      <c r="GV89">
        <f t="shared" si="137"/>
        <v>0</v>
      </c>
      <c r="GW89">
        <v>1</v>
      </c>
      <c r="GX89">
        <f t="shared" si="138"/>
        <v>0</v>
      </c>
      <c r="HA89">
        <v>0</v>
      </c>
      <c r="HB89">
        <v>0</v>
      </c>
      <c r="HC89">
        <f t="shared" si="139"/>
        <v>0</v>
      </c>
      <c r="HE89" t="s">
        <v>3</v>
      </c>
      <c r="HF89" t="s">
        <v>3</v>
      </c>
      <c r="HM89" t="s">
        <v>3</v>
      </c>
      <c r="HN89" t="s">
        <v>3</v>
      </c>
      <c r="HO89" t="s">
        <v>3</v>
      </c>
      <c r="HP89" t="s">
        <v>3</v>
      </c>
      <c r="HQ89" t="s">
        <v>3</v>
      </c>
      <c r="IK89">
        <v>0</v>
      </c>
    </row>
    <row r="90" spans="1:245" x14ac:dyDescent="0.2">
      <c r="A90">
        <v>18</v>
      </c>
      <c r="B90">
        <v>1</v>
      </c>
      <c r="C90">
        <v>53</v>
      </c>
      <c r="E90" t="s">
        <v>203</v>
      </c>
      <c r="F90" t="s">
        <v>196</v>
      </c>
      <c r="G90" t="s">
        <v>197</v>
      </c>
      <c r="H90" t="s">
        <v>64</v>
      </c>
      <c r="I90">
        <f>I89*J90</f>
        <v>3.14E-3</v>
      </c>
      <c r="J90">
        <v>0.157</v>
      </c>
      <c r="K90">
        <v>0.157</v>
      </c>
      <c r="O90">
        <f t="shared" si="106"/>
        <v>97.96</v>
      </c>
      <c r="P90">
        <f t="shared" si="107"/>
        <v>97.96</v>
      </c>
      <c r="Q90">
        <f t="shared" si="108"/>
        <v>0</v>
      </c>
      <c r="R90">
        <f t="shared" si="109"/>
        <v>0</v>
      </c>
      <c r="S90">
        <f t="shared" si="110"/>
        <v>0</v>
      </c>
      <c r="T90">
        <f t="shared" si="111"/>
        <v>0</v>
      </c>
      <c r="U90">
        <f t="shared" si="112"/>
        <v>0</v>
      </c>
      <c r="V90">
        <f t="shared" si="113"/>
        <v>0</v>
      </c>
      <c r="W90">
        <f t="shared" si="114"/>
        <v>0</v>
      </c>
      <c r="X90">
        <f t="shared" si="115"/>
        <v>0</v>
      </c>
      <c r="Y90">
        <f t="shared" si="115"/>
        <v>0</v>
      </c>
      <c r="AA90">
        <v>59267179</v>
      </c>
      <c r="AB90">
        <f t="shared" si="116"/>
        <v>6500.22</v>
      </c>
      <c r="AC90">
        <f t="shared" si="117"/>
        <v>6500.22</v>
      </c>
      <c r="AD90">
        <f t="shared" si="117"/>
        <v>0</v>
      </c>
      <c r="AE90">
        <f t="shared" si="117"/>
        <v>0</v>
      </c>
      <c r="AF90">
        <f t="shared" si="117"/>
        <v>0</v>
      </c>
      <c r="AG90">
        <f t="shared" si="118"/>
        <v>0</v>
      </c>
      <c r="AH90">
        <f t="shared" si="119"/>
        <v>0</v>
      </c>
      <c r="AI90">
        <f t="shared" si="119"/>
        <v>0</v>
      </c>
      <c r="AJ90">
        <f t="shared" si="120"/>
        <v>0</v>
      </c>
      <c r="AK90">
        <v>6500.22</v>
      </c>
      <c r="AL90">
        <v>6500.22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1</v>
      </c>
      <c r="AW90">
        <v>1.081</v>
      </c>
      <c r="AZ90">
        <v>1</v>
      </c>
      <c r="BA90">
        <v>1</v>
      </c>
      <c r="BB90">
        <v>1</v>
      </c>
      <c r="BC90">
        <v>4.4400000000000004</v>
      </c>
      <c r="BD90" t="s">
        <v>3</v>
      </c>
      <c r="BE90" t="s">
        <v>3</v>
      </c>
      <c r="BF90" t="s">
        <v>3</v>
      </c>
      <c r="BG90" t="s">
        <v>3</v>
      </c>
      <c r="BH90">
        <v>3</v>
      </c>
      <c r="BI90">
        <v>2</v>
      </c>
      <c r="BJ90" t="s">
        <v>198</v>
      </c>
      <c r="BM90">
        <v>332</v>
      </c>
      <c r="BN90">
        <v>0</v>
      </c>
      <c r="BO90" t="s">
        <v>196</v>
      </c>
      <c r="BP90">
        <v>1</v>
      </c>
      <c r="BQ90">
        <v>40</v>
      </c>
      <c r="BR90">
        <v>0</v>
      </c>
      <c r="BS90">
        <v>1</v>
      </c>
      <c r="BT90">
        <v>1</v>
      </c>
      <c r="BU90">
        <v>1</v>
      </c>
      <c r="BV90">
        <v>1</v>
      </c>
      <c r="BW90">
        <v>1</v>
      </c>
      <c r="BX90">
        <v>1</v>
      </c>
      <c r="BY90" t="s">
        <v>3</v>
      </c>
      <c r="BZ90">
        <v>0</v>
      </c>
      <c r="CA90">
        <v>0</v>
      </c>
      <c r="CB90" t="s">
        <v>3</v>
      </c>
      <c r="CE90">
        <v>0</v>
      </c>
      <c r="CF90">
        <v>0</v>
      </c>
      <c r="CG90">
        <v>0</v>
      </c>
      <c r="CM90">
        <v>0</v>
      </c>
      <c r="CN90" t="s">
        <v>3</v>
      </c>
      <c r="CO90">
        <v>0</v>
      </c>
      <c r="CP90">
        <f t="shared" si="121"/>
        <v>97.96</v>
      </c>
      <c r="CQ90">
        <f t="shared" si="122"/>
        <v>31198.715920800005</v>
      </c>
      <c r="CR90">
        <f t="shared" si="123"/>
        <v>0</v>
      </c>
      <c r="CS90">
        <f t="shared" si="124"/>
        <v>0</v>
      </c>
      <c r="CT90">
        <f t="shared" si="125"/>
        <v>0</v>
      </c>
      <c r="CU90">
        <f t="shared" si="126"/>
        <v>0</v>
      </c>
      <c r="CV90">
        <f t="shared" si="127"/>
        <v>0</v>
      </c>
      <c r="CW90">
        <f t="shared" si="128"/>
        <v>0</v>
      </c>
      <c r="CX90">
        <f t="shared" si="128"/>
        <v>0</v>
      </c>
      <c r="CY90">
        <f t="shared" si="129"/>
        <v>0</v>
      </c>
      <c r="CZ90">
        <f t="shared" si="130"/>
        <v>0</v>
      </c>
      <c r="DC90" t="s">
        <v>3</v>
      </c>
      <c r="DD90" t="s">
        <v>3</v>
      </c>
      <c r="DE90" t="s">
        <v>3</v>
      </c>
      <c r="DF90" t="s">
        <v>3</v>
      </c>
      <c r="DG90" t="s">
        <v>3</v>
      </c>
      <c r="DH90" t="s">
        <v>3</v>
      </c>
      <c r="DI90" t="s">
        <v>3</v>
      </c>
      <c r="DJ90" t="s">
        <v>3</v>
      </c>
      <c r="DK90" t="s">
        <v>3</v>
      </c>
      <c r="DL90" t="s">
        <v>3</v>
      </c>
      <c r="DM90" t="s">
        <v>3</v>
      </c>
      <c r="DN90">
        <v>112</v>
      </c>
      <c r="DO90">
        <v>70</v>
      </c>
      <c r="DP90">
        <v>1.0669999999999999</v>
      </c>
      <c r="DQ90">
        <v>1.081</v>
      </c>
      <c r="DU90">
        <v>1009</v>
      </c>
      <c r="DV90" t="s">
        <v>64</v>
      </c>
      <c r="DW90" t="s">
        <v>64</v>
      </c>
      <c r="DX90">
        <v>1000</v>
      </c>
      <c r="DZ90" t="s">
        <v>3</v>
      </c>
      <c r="EA90" t="s">
        <v>3</v>
      </c>
      <c r="EB90" t="s">
        <v>3</v>
      </c>
      <c r="EC90" t="s">
        <v>3</v>
      </c>
      <c r="EE90">
        <v>42063936</v>
      </c>
      <c r="EF90">
        <v>40</v>
      </c>
      <c r="EG90" t="s">
        <v>42</v>
      </c>
      <c r="EH90">
        <v>0</v>
      </c>
      <c r="EI90" t="s">
        <v>3</v>
      </c>
      <c r="EJ90">
        <v>2</v>
      </c>
      <c r="EK90">
        <v>332</v>
      </c>
      <c r="EL90" t="s">
        <v>187</v>
      </c>
      <c r="EM90" t="s">
        <v>188</v>
      </c>
      <c r="EO90" t="s">
        <v>3</v>
      </c>
      <c r="EQ90">
        <v>0</v>
      </c>
      <c r="ER90">
        <v>6500.22</v>
      </c>
      <c r="ES90">
        <v>6500.22</v>
      </c>
      <c r="ET90">
        <v>0</v>
      </c>
      <c r="EU90">
        <v>0</v>
      </c>
      <c r="EV90">
        <v>0</v>
      </c>
      <c r="EW90">
        <v>0</v>
      </c>
      <c r="EX90">
        <v>0</v>
      </c>
      <c r="FQ90">
        <v>0</v>
      </c>
      <c r="FR90">
        <f t="shared" si="131"/>
        <v>0</v>
      </c>
      <c r="FS90">
        <v>0</v>
      </c>
      <c r="FX90">
        <v>112</v>
      </c>
      <c r="FY90">
        <v>70</v>
      </c>
      <c r="GA90" t="s">
        <v>3</v>
      </c>
      <c r="GD90">
        <v>0</v>
      </c>
      <c r="GF90">
        <v>1134268875</v>
      </c>
      <c r="GG90">
        <v>2</v>
      </c>
      <c r="GH90">
        <v>1</v>
      </c>
      <c r="GI90">
        <v>2</v>
      </c>
      <c r="GJ90">
        <v>0</v>
      </c>
      <c r="GK90">
        <f>ROUND(R90*(R12)/100,2)</f>
        <v>0</v>
      </c>
      <c r="GL90">
        <f t="shared" si="132"/>
        <v>0</v>
      </c>
      <c r="GM90">
        <f t="shared" si="133"/>
        <v>97.96</v>
      </c>
      <c r="GN90">
        <f t="shared" si="134"/>
        <v>0</v>
      </c>
      <c r="GO90">
        <f t="shared" si="135"/>
        <v>97.96</v>
      </c>
      <c r="GP90">
        <f t="shared" si="136"/>
        <v>0</v>
      </c>
      <c r="GR90">
        <v>0</v>
      </c>
      <c r="GS90">
        <v>3</v>
      </c>
      <c r="GT90">
        <v>0</v>
      </c>
      <c r="GU90" t="s">
        <v>3</v>
      </c>
      <c r="GV90">
        <f t="shared" si="137"/>
        <v>0</v>
      </c>
      <c r="GW90">
        <v>1</v>
      </c>
      <c r="GX90">
        <f t="shared" si="138"/>
        <v>0</v>
      </c>
      <c r="HA90">
        <v>0</v>
      </c>
      <c r="HB90">
        <v>0</v>
      </c>
      <c r="HC90">
        <f t="shared" si="139"/>
        <v>0</v>
      </c>
      <c r="HE90" t="s">
        <v>3</v>
      </c>
      <c r="HF90" t="s">
        <v>3</v>
      </c>
      <c r="HM90" t="s">
        <v>3</v>
      </c>
      <c r="HN90" t="s">
        <v>3</v>
      </c>
      <c r="HO90" t="s">
        <v>3</v>
      </c>
      <c r="HP90" t="s">
        <v>3</v>
      </c>
      <c r="HQ90" t="s">
        <v>3</v>
      </c>
      <c r="IK90">
        <v>0</v>
      </c>
    </row>
    <row r="92" spans="1:245" x14ac:dyDescent="0.2">
      <c r="A92" s="2">
        <v>51</v>
      </c>
      <c r="B92" s="2">
        <f>B65</f>
        <v>1</v>
      </c>
      <c r="C92" s="2">
        <f>A65</f>
        <v>4</v>
      </c>
      <c r="D92" s="2">
        <f>ROW(A65)</f>
        <v>65</v>
      </c>
      <c r="E92" s="2"/>
      <c r="F92" s="2" t="str">
        <f>IF(F65&lt;&gt;"",F65,"")</f>
        <v>Новый раздел</v>
      </c>
      <c r="G92" s="2" t="str">
        <f>IF(G65&lt;&gt;"",G65,"")</f>
        <v>Строительно-монтажные работы</v>
      </c>
      <c r="H92" s="2">
        <v>0</v>
      </c>
      <c r="I92" s="2"/>
      <c r="J92" s="2"/>
      <c r="K92" s="2"/>
      <c r="L92" s="2"/>
      <c r="M92" s="2"/>
      <c r="N92" s="2"/>
      <c r="O92" s="2">
        <f t="shared" ref="O92:T92" si="140">ROUND(AB92,2)</f>
        <v>96680.5</v>
      </c>
      <c r="P92" s="2">
        <f t="shared" si="140"/>
        <v>45409.93</v>
      </c>
      <c r="Q92" s="2">
        <f t="shared" si="140"/>
        <v>11468.14</v>
      </c>
      <c r="R92" s="2">
        <f t="shared" si="140"/>
        <v>5436.17</v>
      </c>
      <c r="S92" s="2">
        <f t="shared" si="140"/>
        <v>39802.43</v>
      </c>
      <c r="T92" s="2">
        <f t="shared" si="140"/>
        <v>0</v>
      </c>
      <c r="U92" s="2">
        <f>AH92</f>
        <v>113.63786346000001</v>
      </c>
      <c r="V92" s="2">
        <f>AI92</f>
        <v>0</v>
      </c>
      <c r="W92" s="2">
        <f>ROUND(AJ92,2)</f>
        <v>0</v>
      </c>
      <c r="X92" s="2">
        <f>ROUND(AK92,2)</f>
        <v>37227.82</v>
      </c>
      <c r="Y92" s="2">
        <f>ROUND(AL92,2)</f>
        <v>17329.36</v>
      </c>
      <c r="Z92" s="2"/>
      <c r="AA92" s="2"/>
      <c r="AB92" s="2">
        <f>ROUND(SUMIF(AA69:AA90,"=59267179",O69:O90),2)</f>
        <v>96680.5</v>
      </c>
      <c r="AC92" s="2">
        <f>ROUND(SUMIF(AA69:AA90,"=59267179",P69:P90),2)</f>
        <v>45409.93</v>
      </c>
      <c r="AD92" s="2">
        <f>ROUND(SUMIF(AA69:AA90,"=59267179",Q69:Q90),2)</f>
        <v>11468.14</v>
      </c>
      <c r="AE92" s="2">
        <f>ROUND(SUMIF(AA69:AA90,"=59267179",R69:R90),2)</f>
        <v>5436.17</v>
      </c>
      <c r="AF92" s="2">
        <f>ROUND(SUMIF(AA69:AA90,"=59267179",S69:S90),2)</f>
        <v>39802.43</v>
      </c>
      <c r="AG92" s="2">
        <f>ROUND(SUMIF(AA69:AA90,"=59267179",T69:T90),2)</f>
        <v>0</v>
      </c>
      <c r="AH92" s="2">
        <f>SUMIF(AA69:AA90,"=59267179",U69:U90)</f>
        <v>113.63786346000001</v>
      </c>
      <c r="AI92" s="2">
        <f>SUMIF(AA69:AA90,"=59267179",V69:V90)</f>
        <v>0</v>
      </c>
      <c r="AJ92" s="2">
        <f>ROUND(SUMIF(AA69:AA90,"=59267179",W69:W90),2)</f>
        <v>0</v>
      </c>
      <c r="AK92" s="2">
        <f>ROUND(SUMIF(AA69:AA90,"=59267179",X69:X90),2)</f>
        <v>37227.82</v>
      </c>
      <c r="AL92" s="2">
        <f>ROUND(SUMIF(AA69:AA90,"=59267179",Y69:Y90),2)</f>
        <v>17329.36</v>
      </c>
      <c r="AM92" s="2"/>
      <c r="AN92" s="2"/>
      <c r="AO92" s="2">
        <f t="shared" ref="AO92:BD92" si="141">ROUND(BX92,2)</f>
        <v>0</v>
      </c>
      <c r="AP92" s="2">
        <f t="shared" si="141"/>
        <v>0</v>
      </c>
      <c r="AQ92" s="2">
        <f t="shared" si="141"/>
        <v>0</v>
      </c>
      <c r="AR92" s="2">
        <f t="shared" si="141"/>
        <v>159935.54999999999</v>
      </c>
      <c r="AS92" s="2">
        <f t="shared" si="141"/>
        <v>65170.26</v>
      </c>
      <c r="AT92" s="2">
        <f t="shared" si="141"/>
        <v>94765.29</v>
      </c>
      <c r="AU92" s="2">
        <f t="shared" si="141"/>
        <v>0</v>
      </c>
      <c r="AV92" s="2">
        <f t="shared" si="141"/>
        <v>45409.93</v>
      </c>
      <c r="AW92" s="2">
        <f t="shared" si="141"/>
        <v>45409.93</v>
      </c>
      <c r="AX92" s="2">
        <f t="shared" si="141"/>
        <v>0</v>
      </c>
      <c r="AY92" s="2">
        <f t="shared" si="141"/>
        <v>45409.93</v>
      </c>
      <c r="AZ92" s="2">
        <f t="shared" si="141"/>
        <v>0</v>
      </c>
      <c r="BA92" s="2">
        <f t="shared" si="141"/>
        <v>0</v>
      </c>
      <c r="BB92" s="2">
        <f t="shared" si="141"/>
        <v>0</v>
      </c>
      <c r="BC92" s="2">
        <f t="shared" si="141"/>
        <v>0</v>
      </c>
      <c r="BD92" s="2">
        <f t="shared" si="141"/>
        <v>0</v>
      </c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>
        <f>ROUND(SUMIF(AA69:AA90,"=59267179",FQ69:FQ90),2)</f>
        <v>0</v>
      </c>
      <c r="BY92" s="2">
        <f>ROUND(SUMIF(AA69:AA90,"=59267179",FR69:FR90),2)</f>
        <v>0</v>
      </c>
      <c r="BZ92" s="2">
        <f>ROUND(SUMIF(AA69:AA90,"=59267179",GL69:GL90),2)</f>
        <v>0</v>
      </c>
      <c r="CA92" s="2">
        <f>ROUND(SUMIF(AA69:AA90,"=59267179",GM69:GM90),2)</f>
        <v>159935.54999999999</v>
      </c>
      <c r="CB92" s="2">
        <f>ROUND(SUMIF(AA69:AA90,"=59267179",GN69:GN90),2)</f>
        <v>65170.26</v>
      </c>
      <c r="CC92" s="2">
        <f>ROUND(SUMIF(AA69:AA90,"=59267179",GO69:GO90),2)</f>
        <v>94765.29</v>
      </c>
      <c r="CD92" s="2">
        <f>ROUND(SUMIF(AA69:AA90,"=59267179",GP69:GP90),2)</f>
        <v>0</v>
      </c>
      <c r="CE92" s="2">
        <f>AC92-BX92</f>
        <v>45409.93</v>
      </c>
      <c r="CF92" s="2">
        <f>AC92-BY92</f>
        <v>45409.93</v>
      </c>
      <c r="CG92" s="2">
        <f>BX92-BZ92</f>
        <v>0</v>
      </c>
      <c r="CH92" s="2">
        <f>AC92-BX92-BY92+BZ92</f>
        <v>45409.93</v>
      </c>
      <c r="CI92" s="2">
        <f>BY92-BZ92</f>
        <v>0</v>
      </c>
      <c r="CJ92" s="2">
        <f>ROUND(SUMIF(AA69:AA90,"=59267179",GX69:GX90),2)</f>
        <v>0</v>
      </c>
      <c r="CK92" s="2">
        <f>ROUND(SUMIF(AA69:AA90,"=59267179",GY69:GY90),2)</f>
        <v>0</v>
      </c>
      <c r="CL92" s="2">
        <f>ROUND(SUMIF(AA69:AA90,"=59267179",GZ69:GZ90),2)</f>
        <v>0</v>
      </c>
      <c r="CM92" s="2">
        <f>ROUND(SUMIF(AA69:AA90,"=59267179",HD69:HD90),2)</f>
        <v>0</v>
      </c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3"/>
      <c r="DH92" s="3"/>
      <c r="DI92" s="3"/>
      <c r="DJ92" s="3"/>
      <c r="DK92" s="3"/>
      <c r="DL92" s="3"/>
      <c r="DM92" s="3"/>
      <c r="DN92" s="3"/>
      <c r="DO92" s="3"/>
      <c r="DP92" s="3"/>
      <c r="DQ92" s="3"/>
      <c r="DR92" s="3"/>
      <c r="DS92" s="3"/>
      <c r="DT92" s="3"/>
      <c r="DU92" s="3"/>
      <c r="DV92" s="3"/>
      <c r="DW92" s="3"/>
      <c r="DX92" s="3"/>
      <c r="DY92" s="3"/>
      <c r="DZ92" s="3"/>
      <c r="EA92" s="3"/>
      <c r="EB92" s="3"/>
      <c r="EC92" s="3"/>
      <c r="ED92" s="3"/>
      <c r="EE92" s="3"/>
      <c r="EF92" s="3"/>
      <c r="EG92" s="3"/>
      <c r="EH92" s="3"/>
      <c r="EI92" s="3"/>
      <c r="EJ92" s="3"/>
      <c r="EK92" s="3"/>
      <c r="EL92" s="3"/>
      <c r="EM92" s="3"/>
      <c r="EN92" s="3"/>
      <c r="EO92" s="3"/>
      <c r="EP92" s="3"/>
      <c r="EQ92" s="3"/>
      <c r="ER92" s="3"/>
      <c r="ES92" s="3"/>
      <c r="ET92" s="3"/>
      <c r="EU92" s="3"/>
      <c r="EV92" s="3"/>
      <c r="EW92" s="3"/>
      <c r="EX92" s="3"/>
      <c r="EY92" s="3"/>
      <c r="EZ92" s="3"/>
      <c r="FA92" s="3"/>
      <c r="FB92" s="3"/>
      <c r="FC92" s="3"/>
      <c r="FD92" s="3"/>
      <c r="FE92" s="3"/>
      <c r="FF92" s="3"/>
      <c r="FG92" s="3"/>
      <c r="FH92" s="3"/>
      <c r="FI92" s="3"/>
      <c r="FJ92" s="3"/>
      <c r="FK92" s="3"/>
      <c r="FL92" s="3"/>
      <c r="FM92" s="3"/>
      <c r="FN92" s="3"/>
      <c r="FO92" s="3"/>
      <c r="FP92" s="3"/>
      <c r="FQ92" s="3"/>
      <c r="FR92" s="3"/>
      <c r="FS92" s="3"/>
      <c r="FT92" s="3"/>
      <c r="FU92" s="3"/>
      <c r="FV92" s="3"/>
      <c r="FW92" s="3"/>
      <c r="FX92" s="3"/>
      <c r="FY92" s="3"/>
      <c r="FZ92" s="3"/>
      <c r="GA92" s="3"/>
      <c r="GB92" s="3"/>
      <c r="GC92" s="3"/>
      <c r="GD92" s="3"/>
      <c r="GE92" s="3"/>
      <c r="GF92" s="3"/>
      <c r="GG92" s="3"/>
      <c r="GH92" s="3"/>
      <c r="GI92" s="3"/>
      <c r="GJ92" s="3"/>
      <c r="GK92" s="3"/>
      <c r="GL92" s="3"/>
      <c r="GM92" s="3"/>
      <c r="GN92" s="3"/>
      <c r="GO92" s="3"/>
      <c r="GP92" s="3"/>
      <c r="GQ92" s="3"/>
      <c r="GR92" s="3"/>
      <c r="GS92" s="3"/>
      <c r="GT92" s="3"/>
      <c r="GU92" s="3"/>
      <c r="GV92" s="3"/>
      <c r="GW92" s="3"/>
      <c r="GX92" s="3">
        <v>0</v>
      </c>
    </row>
    <row r="94" spans="1:245" x14ac:dyDescent="0.2">
      <c r="A94" s="4">
        <v>50</v>
      </c>
      <c r="B94" s="4">
        <v>0</v>
      </c>
      <c r="C94" s="4">
        <v>0</v>
      </c>
      <c r="D94" s="4">
        <v>1</v>
      </c>
      <c r="E94" s="4">
        <v>201</v>
      </c>
      <c r="F94" s="4">
        <f>ROUND(Source!O92,O94)</f>
        <v>96680.5</v>
      </c>
      <c r="G94" s="4" t="s">
        <v>69</v>
      </c>
      <c r="H94" s="4" t="s">
        <v>70</v>
      </c>
      <c r="I94" s="4"/>
      <c r="J94" s="4"/>
      <c r="K94" s="4">
        <v>201</v>
      </c>
      <c r="L94" s="4">
        <v>1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>
        <v>96680.5</v>
      </c>
      <c r="X94" s="4">
        <v>1</v>
      </c>
      <c r="Y94" s="4">
        <v>96680.5</v>
      </c>
      <c r="Z94" s="4"/>
      <c r="AA94" s="4"/>
      <c r="AB94" s="4"/>
    </row>
    <row r="95" spans="1:245" x14ac:dyDescent="0.2">
      <c r="A95" s="4">
        <v>50</v>
      </c>
      <c r="B95" s="4">
        <v>0</v>
      </c>
      <c r="C95" s="4">
        <v>0</v>
      </c>
      <c r="D95" s="4">
        <v>1</v>
      </c>
      <c r="E95" s="4">
        <v>202</v>
      </c>
      <c r="F95" s="4">
        <f>ROUND(Source!P92,O95)</f>
        <v>45409.93</v>
      </c>
      <c r="G95" s="4" t="s">
        <v>71</v>
      </c>
      <c r="H95" s="4" t="s">
        <v>72</v>
      </c>
      <c r="I95" s="4"/>
      <c r="J95" s="4"/>
      <c r="K95" s="4">
        <v>202</v>
      </c>
      <c r="L95" s="4">
        <v>2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>
        <v>45409.93</v>
      </c>
      <c r="X95" s="4">
        <v>1</v>
      </c>
      <c r="Y95" s="4">
        <v>45409.93</v>
      </c>
      <c r="Z95" s="4"/>
      <c r="AA95" s="4"/>
      <c r="AB95" s="4"/>
    </row>
    <row r="96" spans="1:245" x14ac:dyDescent="0.2">
      <c r="A96" s="4">
        <v>50</v>
      </c>
      <c r="B96" s="4">
        <v>0</v>
      </c>
      <c r="C96" s="4">
        <v>0</v>
      </c>
      <c r="D96" s="4">
        <v>1</v>
      </c>
      <c r="E96" s="4">
        <v>222</v>
      </c>
      <c r="F96" s="4">
        <f>ROUND(Source!AO92,O96)</f>
        <v>0</v>
      </c>
      <c r="G96" s="4" t="s">
        <v>73</v>
      </c>
      <c r="H96" s="4" t="s">
        <v>74</v>
      </c>
      <c r="I96" s="4"/>
      <c r="J96" s="4"/>
      <c r="K96" s="4">
        <v>222</v>
      </c>
      <c r="L96" s="4">
        <v>3</v>
      </c>
      <c r="M96" s="4">
        <v>3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>
        <v>0</v>
      </c>
      <c r="X96" s="4">
        <v>1</v>
      </c>
      <c r="Y96" s="4">
        <v>0</v>
      </c>
      <c r="Z96" s="4"/>
      <c r="AA96" s="4"/>
      <c r="AB96" s="4"/>
    </row>
    <row r="97" spans="1:28" x14ac:dyDescent="0.2">
      <c r="A97" s="4">
        <v>50</v>
      </c>
      <c r="B97" s="4">
        <v>0</v>
      </c>
      <c r="C97" s="4">
        <v>0</v>
      </c>
      <c r="D97" s="4">
        <v>1</v>
      </c>
      <c r="E97" s="4">
        <v>225</v>
      </c>
      <c r="F97" s="4">
        <f>ROUND(Source!AV92,O97)</f>
        <v>45409.93</v>
      </c>
      <c r="G97" s="4" t="s">
        <v>75</v>
      </c>
      <c r="H97" s="4" t="s">
        <v>76</v>
      </c>
      <c r="I97" s="4"/>
      <c r="J97" s="4"/>
      <c r="K97" s="4">
        <v>225</v>
      </c>
      <c r="L97" s="4">
        <v>4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>
        <v>45409.93</v>
      </c>
      <c r="X97" s="4">
        <v>1</v>
      </c>
      <c r="Y97" s="4">
        <v>45409.93</v>
      </c>
      <c r="Z97" s="4"/>
      <c r="AA97" s="4"/>
      <c r="AB97" s="4"/>
    </row>
    <row r="98" spans="1:28" x14ac:dyDescent="0.2">
      <c r="A98" s="4">
        <v>50</v>
      </c>
      <c r="B98" s="4">
        <v>0</v>
      </c>
      <c r="C98" s="4">
        <v>0</v>
      </c>
      <c r="D98" s="4">
        <v>1</v>
      </c>
      <c r="E98" s="4">
        <v>226</v>
      </c>
      <c r="F98" s="4">
        <f>ROUND(Source!AW92,O98)</f>
        <v>45409.93</v>
      </c>
      <c r="G98" s="4" t="s">
        <v>77</v>
      </c>
      <c r="H98" s="4" t="s">
        <v>78</v>
      </c>
      <c r="I98" s="4"/>
      <c r="J98" s="4"/>
      <c r="K98" s="4">
        <v>226</v>
      </c>
      <c r="L98" s="4">
        <v>5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>
        <v>45409.93</v>
      </c>
      <c r="X98" s="4">
        <v>1</v>
      </c>
      <c r="Y98" s="4">
        <v>45409.93</v>
      </c>
      <c r="Z98" s="4"/>
      <c r="AA98" s="4"/>
      <c r="AB98" s="4"/>
    </row>
    <row r="99" spans="1:28" x14ac:dyDescent="0.2">
      <c r="A99" s="4">
        <v>50</v>
      </c>
      <c r="B99" s="4">
        <v>0</v>
      </c>
      <c r="C99" s="4">
        <v>0</v>
      </c>
      <c r="D99" s="4">
        <v>1</v>
      </c>
      <c r="E99" s="4">
        <v>227</v>
      </c>
      <c r="F99" s="4">
        <f>ROUND(Source!AX92,O99)</f>
        <v>0</v>
      </c>
      <c r="G99" s="4" t="s">
        <v>79</v>
      </c>
      <c r="H99" s="4" t="s">
        <v>80</v>
      </c>
      <c r="I99" s="4"/>
      <c r="J99" s="4"/>
      <c r="K99" s="4">
        <v>227</v>
      </c>
      <c r="L99" s="4">
        <v>6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>
        <v>0</v>
      </c>
      <c r="X99" s="4">
        <v>1</v>
      </c>
      <c r="Y99" s="4">
        <v>0</v>
      </c>
      <c r="Z99" s="4"/>
      <c r="AA99" s="4"/>
      <c r="AB99" s="4"/>
    </row>
    <row r="100" spans="1:28" x14ac:dyDescent="0.2">
      <c r="A100" s="4">
        <v>50</v>
      </c>
      <c r="B100" s="4">
        <v>0</v>
      </c>
      <c r="C100" s="4">
        <v>0</v>
      </c>
      <c r="D100" s="4">
        <v>1</v>
      </c>
      <c r="E100" s="4">
        <v>228</v>
      </c>
      <c r="F100" s="4">
        <f>ROUND(Source!AY92,O100)</f>
        <v>45409.93</v>
      </c>
      <c r="G100" s="4" t="s">
        <v>81</v>
      </c>
      <c r="H100" s="4" t="s">
        <v>82</v>
      </c>
      <c r="I100" s="4"/>
      <c r="J100" s="4"/>
      <c r="K100" s="4">
        <v>228</v>
      </c>
      <c r="L100" s="4">
        <v>7</v>
      </c>
      <c r="M100" s="4">
        <v>3</v>
      </c>
      <c r="N100" s="4" t="s">
        <v>3</v>
      </c>
      <c r="O100" s="4">
        <v>2</v>
      </c>
      <c r="P100" s="4"/>
      <c r="Q100" s="4"/>
      <c r="R100" s="4"/>
      <c r="S100" s="4"/>
      <c r="T100" s="4"/>
      <c r="U100" s="4"/>
      <c r="V100" s="4"/>
      <c r="W100" s="4">
        <v>45409.93</v>
      </c>
      <c r="X100" s="4">
        <v>1</v>
      </c>
      <c r="Y100" s="4">
        <v>45409.93</v>
      </c>
      <c r="Z100" s="4"/>
      <c r="AA100" s="4"/>
      <c r="AB100" s="4"/>
    </row>
    <row r="101" spans="1:28" x14ac:dyDescent="0.2">
      <c r="A101" s="4">
        <v>50</v>
      </c>
      <c r="B101" s="4">
        <v>0</v>
      </c>
      <c r="C101" s="4">
        <v>0</v>
      </c>
      <c r="D101" s="4">
        <v>1</v>
      </c>
      <c r="E101" s="4">
        <v>216</v>
      </c>
      <c r="F101" s="4">
        <f>ROUND(Source!AP92,O101)</f>
        <v>0</v>
      </c>
      <c r="G101" s="4" t="s">
        <v>83</v>
      </c>
      <c r="H101" s="4" t="s">
        <v>84</v>
      </c>
      <c r="I101" s="4"/>
      <c r="J101" s="4"/>
      <c r="K101" s="4">
        <v>216</v>
      </c>
      <c r="L101" s="4">
        <v>8</v>
      </c>
      <c r="M101" s="4">
        <v>3</v>
      </c>
      <c r="N101" s="4" t="s">
        <v>3</v>
      </c>
      <c r="O101" s="4">
        <v>2</v>
      </c>
      <c r="P101" s="4"/>
      <c r="Q101" s="4"/>
      <c r="R101" s="4"/>
      <c r="S101" s="4"/>
      <c r="T101" s="4"/>
      <c r="U101" s="4"/>
      <c r="V101" s="4"/>
      <c r="W101" s="4">
        <v>0</v>
      </c>
      <c r="X101" s="4">
        <v>1</v>
      </c>
      <c r="Y101" s="4">
        <v>0</v>
      </c>
      <c r="Z101" s="4"/>
      <c r="AA101" s="4"/>
      <c r="AB101" s="4"/>
    </row>
    <row r="102" spans="1:28" x14ac:dyDescent="0.2">
      <c r="A102" s="4">
        <v>50</v>
      </c>
      <c r="B102" s="4">
        <v>0</v>
      </c>
      <c r="C102" s="4">
        <v>0</v>
      </c>
      <c r="D102" s="4">
        <v>1</v>
      </c>
      <c r="E102" s="4">
        <v>223</v>
      </c>
      <c r="F102" s="4">
        <f>ROUND(Source!AQ92,O102)</f>
        <v>0</v>
      </c>
      <c r="G102" s="4" t="s">
        <v>85</v>
      </c>
      <c r="H102" s="4" t="s">
        <v>86</v>
      </c>
      <c r="I102" s="4"/>
      <c r="J102" s="4"/>
      <c r="K102" s="4">
        <v>223</v>
      </c>
      <c r="L102" s="4">
        <v>9</v>
      </c>
      <c r="M102" s="4">
        <v>3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>
        <v>0</v>
      </c>
      <c r="X102" s="4">
        <v>1</v>
      </c>
      <c r="Y102" s="4">
        <v>0</v>
      </c>
      <c r="Z102" s="4"/>
      <c r="AA102" s="4"/>
      <c r="AB102" s="4"/>
    </row>
    <row r="103" spans="1:28" x14ac:dyDescent="0.2">
      <c r="A103" s="4">
        <v>50</v>
      </c>
      <c r="B103" s="4">
        <v>0</v>
      </c>
      <c r="C103" s="4">
        <v>0</v>
      </c>
      <c r="D103" s="4">
        <v>1</v>
      </c>
      <c r="E103" s="4">
        <v>229</v>
      </c>
      <c r="F103" s="4">
        <f>ROUND(Source!AZ92,O103)</f>
        <v>0</v>
      </c>
      <c r="G103" s="4" t="s">
        <v>87</v>
      </c>
      <c r="H103" s="4" t="s">
        <v>88</v>
      </c>
      <c r="I103" s="4"/>
      <c r="J103" s="4"/>
      <c r="K103" s="4">
        <v>229</v>
      </c>
      <c r="L103" s="4">
        <v>10</v>
      </c>
      <c r="M103" s="4">
        <v>3</v>
      </c>
      <c r="N103" s="4" t="s">
        <v>3</v>
      </c>
      <c r="O103" s="4">
        <v>2</v>
      </c>
      <c r="P103" s="4"/>
      <c r="Q103" s="4"/>
      <c r="R103" s="4"/>
      <c r="S103" s="4"/>
      <c r="T103" s="4"/>
      <c r="U103" s="4"/>
      <c r="V103" s="4"/>
      <c r="W103" s="4">
        <v>0</v>
      </c>
      <c r="X103" s="4">
        <v>1</v>
      </c>
      <c r="Y103" s="4">
        <v>0</v>
      </c>
      <c r="Z103" s="4"/>
      <c r="AA103" s="4"/>
      <c r="AB103" s="4"/>
    </row>
    <row r="104" spans="1:28" x14ac:dyDescent="0.2">
      <c r="A104" s="4">
        <v>50</v>
      </c>
      <c r="B104" s="4">
        <v>0</v>
      </c>
      <c r="C104" s="4">
        <v>0</v>
      </c>
      <c r="D104" s="4">
        <v>1</v>
      </c>
      <c r="E104" s="4">
        <v>203</v>
      </c>
      <c r="F104" s="4">
        <f>ROUND(Source!Q92,O104)</f>
        <v>11468.14</v>
      </c>
      <c r="G104" s="4" t="s">
        <v>89</v>
      </c>
      <c r="H104" s="4" t="s">
        <v>90</v>
      </c>
      <c r="I104" s="4"/>
      <c r="J104" s="4"/>
      <c r="K104" s="4">
        <v>203</v>
      </c>
      <c r="L104" s="4">
        <v>11</v>
      </c>
      <c r="M104" s="4">
        <v>3</v>
      </c>
      <c r="N104" s="4" t="s">
        <v>3</v>
      </c>
      <c r="O104" s="4">
        <v>2</v>
      </c>
      <c r="P104" s="4"/>
      <c r="Q104" s="4"/>
      <c r="R104" s="4"/>
      <c r="S104" s="4"/>
      <c r="T104" s="4"/>
      <c r="U104" s="4"/>
      <c r="V104" s="4"/>
      <c r="W104" s="4">
        <v>11468.14</v>
      </c>
      <c r="X104" s="4">
        <v>1</v>
      </c>
      <c r="Y104" s="4">
        <v>11468.14</v>
      </c>
      <c r="Z104" s="4"/>
      <c r="AA104" s="4"/>
      <c r="AB104" s="4"/>
    </row>
    <row r="105" spans="1:28" x14ac:dyDescent="0.2">
      <c r="A105" s="4">
        <v>50</v>
      </c>
      <c r="B105" s="4">
        <v>0</v>
      </c>
      <c r="C105" s="4">
        <v>0</v>
      </c>
      <c r="D105" s="4">
        <v>1</v>
      </c>
      <c r="E105" s="4">
        <v>231</v>
      </c>
      <c r="F105" s="4">
        <f>ROUND(Source!BB92,O105)</f>
        <v>0</v>
      </c>
      <c r="G105" s="4" t="s">
        <v>91</v>
      </c>
      <c r="H105" s="4" t="s">
        <v>92</v>
      </c>
      <c r="I105" s="4"/>
      <c r="J105" s="4"/>
      <c r="K105" s="4">
        <v>231</v>
      </c>
      <c r="L105" s="4">
        <v>12</v>
      </c>
      <c r="M105" s="4">
        <v>3</v>
      </c>
      <c r="N105" s="4" t="s">
        <v>3</v>
      </c>
      <c r="O105" s="4">
        <v>2</v>
      </c>
      <c r="P105" s="4"/>
      <c r="Q105" s="4"/>
      <c r="R105" s="4"/>
      <c r="S105" s="4"/>
      <c r="T105" s="4"/>
      <c r="U105" s="4"/>
      <c r="V105" s="4"/>
      <c r="W105" s="4">
        <v>0</v>
      </c>
      <c r="X105" s="4">
        <v>1</v>
      </c>
      <c r="Y105" s="4">
        <v>0</v>
      </c>
      <c r="Z105" s="4"/>
      <c r="AA105" s="4"/>
      <c r="AB105" s="4"/>
    </row>
    <row r="106" spans="1:28" x14ac:dyDescent="0.2">
      <c r="A106" s="4">
        <v>50</v>
      </c>
      <c r="B106" s="4">
        <v>0</v>
      </c>
      <c r="C106" s="4">
        <v>0</v>
      </c>
      <c r="D106" s="4">
        <v>1</v>
      </c>
      <c r="E106" s="4">
        <v>204</v>
      </c>
      <c r="F106" s="4">
        <f>ROUND(Source!R92,O106)</f>
        <v>5436.17</v>
      </c>
      <c r="G106" s="4" t="s">
        <v>93</v>
      </c>
      <c r="H106" s="4" t="s">
        <v>94</v>
      </c>
      <c r="I106" s="4"/>
      <c r="J106" s="4"/>
      <c r="K106" s="4">
        <v>204</v>
      </c>
      <c r="L106" s="4">
        <v>13</v>
      </c>
      <c r="M106" s="4">
        <v>3</v>
      </c>
      <c r="N106" s="4" t="s">
        <v>3</v>
      </c>
      <c r="O106" s="4">
        <v>2</v>
      </c>
      <c r="P106" s="4"/>
      <c r="Q106" s="4"/>
      <c r="R106" s="4"/>
      <c r="S106" s="4"/>
      <c r="T106" s="4"/>
      <c r="U106" s="4"/>
      <c r="V106" s="4"/>
      <c r="W106" s="4">
        <v>5436.17</v>
      </c>
      <c r="X106" s="4">
        <v>1</v>
      </c>
      <c r="Y106" s="4">
        <v>5436.17</v>
      </c>
      <c r="Z106" s="4"/>
      <c r="AA106" s="4"/>
      <c r="AB106" s="4"/>
    </row>
    <row r="107" spans="1:28" x14ac:dyDescent="0.2">
      <c r="A107" s="4">
        <v>50</v>
      </c>
      <c r="B107" s="4">
        <v>0</v>
      </c>
      <c r="C107" s="4">
        <v>0</v>
      </c>
      <c r="D107" s="4">
        <v>1</v>
      </c>
      <c r="E107" s="4">
        <v>205</v>
      </c>
      <c r="F107" s="4">
        <f>ROUND(Source!S92,O107)</f>
        <v>39802.43</v>
      </c>
      <c r="G107" s="4" t="s">
        <v>95</v>
      </c>
      <c r="H107" s="4" t="s">
        <v>96</v>
      </c>
      <c r="I107" s="4"/>
      <c r="J107" s="4"/>
      <c r="K107" s="4">
        <v>205</v>
      </c>
      <c r="L107" s="4">
        <v>14</v>
      </c>
      <c r="M107" s="4">
        <v>3</v>
      </c>
      <c r="N107" s="4" t="s">
        <v>3</v>
      </c>
      <c r="O107" s="4">
        <v>2</v>
      </c>
      <c r="P107" s="4"/>
      <c r="Q107" s="4"/>
      <c r="R107" s="4"/>
      <c r="S107" s="4"/>
      <c r="T107" s="4"/>
      <c r="U107" s="4"/>
      <c r="V107" s="4"/>
      <c r="W107" s="4">
        <v>39802.43</v>
      </c>
      <c r="X107" s="4">
        <v>1</v>
      </c>
      <c r="Y107" s="4">
        <v>39802.43</v>
      </c>
      <c r="Z107" s="4"/>
      <c r="AA107" s="4"/>
      <c r="AB107" s="4"/>
    </row>
    <row r="108" spans="1:28" x14ac:dyDescent="0.2">
      <c r="A108" s="4">
        <v>50</v>
      </c>
      <c r="B108" s="4">
        <v>0</v>
      </c>
      <c r="C108" s="4">
        <v>0</v>
      </c>
      <c r="D108" s="4">
        <v>1</v>
      </c>
      <c r="E108" s="4">
        <v>232</v>
      </c>
      <c r="F108" s="4">
        <f>ROUND(Source!BC92,O108)</f>
        <v>0</v>
      </c>
      <c r="G108" s="4" t="s">
        <v>97</v>
      </c>
      <c r="H108" s="4" t="s">
        <v>98</v>
      </c>
      <c r="I108" s="4"/>
      <c r="J108" s="4"/>
      <c r="K108" s="4">
        <v>232</v>
      </c>
      <c r="L108" s="4">
        <v>15</v>
      </c>
      <c r="M108" s="4">
        <v>3</v>
      </c>
      <c r="N108" s="4" t="s">
        <v>3</v>
      </c>
      <c r="O108" s="4">
        <v>2</v>
      </c>
      <c r="P108" s="4"/>
      <c r="Q108" s="4"/>
      <c r="R108" s="4"/>
      <c r="S108" s="4"/>
      <c r="T108" s="4"/>
      <c r="U108" s="4"/>
      <c r="V108" s="4"/>
      <c r="W108" s="4">
        <v>0</v>
      </c>
      <c r="X108" s="4">
        <v>1</v>
      </c>
      <c r="Y108" s="4">
        <v>0</v>
      </c>
      <c r="Z108" s="4"/>
      <c r="AA108" s="4"/>
      <c r="AB108" s="4"/>
    </row>
    <row r="109" spans="1:28" x14ac:dyDescent="0.2">
      <c r="A109" s="4">
        <v>50</v>
      </c>
      <c r="B109" s="4">
        <v>0</v>
      </c>
      <c r="C109" s="4">
        <v>0</v>
      </c>
      <c r="D109" s="4">
        <v>1</v>
      </c>
      <c r="E109" s="4">
        <v>214</v>
      </c>
      <c r="F109" s="4">
        <f>ROUND(Source!AS92,O109)</f>
        <v>65170.26</v>
      </c>
      <c r="G109" s="4" t="s">
        <v>99</v>
      </c>
      <c r="H109" s="4" t="s">
        <v>100</v>
      </c>
      <c r="I109" s="4"/>
      <c r="J109" s="4"/>
      <c r="K109" s="4">
        <v>214</v>
      </c>
      <c r="L109" s="4">
        <v>16</v>
      </c>
      <c r="M109" s="4">
        <v>3</v>
      </c>
      <c r="N109" s="4" t="s">
        <v>3</v>
      </c>
      <c r="O109" s="4">
        <v>2</v>
      </c>
      <c r="P109" s="4"/>
      <c r="Q109" s="4"/>
      <c r="R109" s="4"/>
      <c r="S109" s="4"/>
      <c r="T109" s="4"/>
      <c r="U109" s="4"/>
      <c r="V109" s="4"/>
      <c r="W109" s="4">
        <v>65170.26</v>
      </c>
      <c r="X109" s="4">
        <v>1</v>
      </c>
      <c r="Y109" s="4">
        <v>65170.26</v>
      </c>
      <c r="Z109" s="4"/>
      <c r="AA109" s="4"/>
      <c r="AB109" s="4"/>
    </row>
    <row r="110" spans="1:28" x14ac:dyDescent="0.2">
      <c r="A110" s="4">
        <v>50</v>
      </c>
      <c r="B110" s="4">
        <v>0</v>
      </c>
      <c r="C110" s="4">
        <v>0</v>
      </c>
      <c r="D110" s="4">
        <v>1</v>
      </c>
      <c r="E110" s="4">
        <v>215</v>
      </c>
      <c r="F110" s="4">
        <f>ROUND(Source!AT92,O110)</f>
        <v>94765.29</v>
      </c>
      <c r="G110" s="4" t="s">
        <v>101</v>
      </c>
      <c r="H110" s="4" t="s">
        <v>102</v>
      </c>
      <c r="I110" s="4"/>
      <c r="J110" s="4"/>
      <c r="K110" s="4">
        <v>215</v>
      </c>
      <c r="L110" s="4">
        <v>17</v>
      </c>
      <c r="M110" s="4">
        <v>3</v>
      </c>
      <c r="N110" s="4" t="s">
        <v>3</v>
      </c>
      <c r="O110" s="4">
        <v>2</v>
      </c>
      <c r="P110" s="4"/>
      <c r="Q110" s="4"/>
      <c r="R110" s="4"/>
      <c r="S110" s="4"/>
      <c r="T110" s="4"/>
      <c r="U110" s="4"/>
      <c r="V110" s="4"/>
      <c r="W110" s="4">
        <v>94765.29</v>
      </c>
      <c r="X110" s="4">
        <v>1</v>
      </c>
      <c r="Y110" s="4">
        <v>94765.29</v>
      </c>
      <c r="Z110" s="4"/>
      <c r="AA110" s="4"/>
      <c r="AB110" s="4"/>
    </row>
    <row r="111" spans="1:28" x14ac:dyDescent="0.2">
      <c r="A111" s="4">
        <v>50</v>
      </c>
      <c r="B111" s="4">
        <v>0</v>
      </c>
      <c r="C111" s="4">
        <v>0</v>
      </c>
      <c r="D111" s="4">
        <v>1</v>
      </c>
      <c r="E111" s="4">
        <v>217</v>
      </c>
      <c r="F111" s="4">
        <f>ROUND(Source!AU92,O111)</f>
        <v>0</v>
      </c>
      <c r="G111" s="4" t="s">
        <v>103</v>
      </c>
      <c r="H111" s="4" t="s">
        <v>104</v>
      </c>
      <c r="I111" s="4"/>
      <c r="J111" s="4"/>
      <c r="K111" s="4">
        <v>217</v>
      </c>
      <c r="L111" s="4">
        <v>18</v>
      </c>
      <c r="M111" s="4">
        <v>3</v>
      </c>
      <c r="N111" s="4" t="s">
        <v>3</v>
      </c>
      <c r="O111" s="4">
        <v>2</v>
      </c>
      <c r="P111" s="4"/>
      <c r="Q111" s="4"/>
      <c r="R111" s="4"/>
      <c r="S111" s="4"/>
      <c r="T111" s="4"/>
      <c r="U111" s="4"/>
      <c r="V111" s="4"/>
      <c r="W111" s="4">
        <v>0</v>
      </c>
      <c r="X111" s="4">
        <v>1</v>
      </c>
      <c r="Y111" s="4">
        <v>0</v>
      </c>
      <c r="Z111" s="4"/>
      <c r="AA111" s="4"/>
      <c r="AB111" s="4"/>
    </row>
    <row r="112" spans="1:28" x14ac:dyDescent="0.2">
      <c r="A112" s="4">
        <v>50</v>
      </c>
      <c r="B112" s="4">
        <v>0</v>
      </c>
      <c r="C112" s="4">
        <v>0</v>
      </c>
      <c r="D112" s="4">
        <v>1</v>
      </c>
      <c r="E112" s="4">
        <v>230</v>
      </c>
      <c r="F112" s="4">
        <f>ROUND(Source!BA92,O112)</f>
        <v>0</v>
      </c>
      <c r="G112" s="4" t="s">
        <v>105</v>
      </c>
      <c r="H112" s="4" t="s">
        <v>106</v>
      </c>
      <c r="I112" s="4"/>
      <c r="J112" s="4"/>
      <c r="K112" s="4">
        <v>230</v>
      </c>
      <c r="L112" s="4">
        <v>19</v>
      </c>
      <c r="M112" s="4">
        <v>3</v>
      </c>
      <c r="N112" s="4" t="s">
        <v>3</v>
      </c>
      <c r="O112" s="4">
        <v>2</v>
      </c>
      <c r="P112" s="4"/>
      <c r="Q112" s="4"/>
      <c r="R112" s="4"/>
      <c r="S112" s="4"/>
      <c r="T112" s="4"/>
      <c r="U112" s="4"/>
      <c r="V112" s="4"/>
      <c r="W112" s="4">
        <v>0</v>
      </c>
      <c r="X112" s="4">
        <v>1</v>
      </c>
      <c r="Y112" s="4">
        <v>0</v>
      </c>
      <c r="Z112" s="4"/>
      <c r="AA112" s="4"/>
      <c r="AB112" s="4"/>
    </row>
    <row r="113" spans="1:245" x14ac:dyDescent="0.2">
      <c r="A113" s="4">
        <v>50</v>
      </c>
      <c r="B113" s="4">
        <v>0</v>
      </c>
      <c r="C113" s="4">
        <v>0</v>
      </c>
      <c r="D113" s="4">
        <v>1</v>
      </c>
      <c r="E113" s="4">
        <v>206</v>
      </c>
      <c r="F113" s="4">
        <f>ROUND(Source!T92,O113)</f>
        <v>0</v>
      </c>
      <c r="G113" s="4" t="s">
        <v>107</v>
      </c>
      <c r="H113" s="4" t="s">
        <v>108</v>
      </c>
      <c r="I113" s="4"/>
      <c r="J113" s="4"/>
      <c r="K113" s="4">
        <v>206</v>
      </c>
      <c r="L113" s="4">
        <v>20</v>
      </c>
      <c r="M113" s="4">
        <v>3</v>
      </c>
      <c r="N113" s="4" t="s">
        <v>3</v>
      </c>
      <c r="O113" s="4">
        <v>2</v>
      </c>
      <c r="P113" s="4"/>
      <c r="Q113" s="4"/>
      <c r="R113" s="4"/>
      <c r="S113" s="4"/>
      <c r="T113" s="4"/>
      <c r="U113" s="4"/>
      <c r="V113" s="4"/>
      <c r="W113" s="4">
        <v>0</v>
      </c>
      <c r="X113" s="4">
        <v>1</v>
      </c>
      <c r="Y113" s="4">
        <v>0</v>
      </c>
      <c r="Z113" s="4"/>
      <c r="AA113" s="4"/>
      <c r="AB113" s="4"/>
    </row>
    <row r="114" spans="1:245" x14ac:dyDescent="0.2">
      <c r="A114" s="4">
        <v>50</v>
      </c>
      <c r="B114" s="4">
        <v>0</v>
      </c>
      <c r="C114" s="4">
        <v>0</v>
      </c>
      <c r="D114" s="4">
        <v>1</v>
      </c>
      <c r="E114" s="4">
        <v>207</v>
      </c>
      <c r="F114" s="4">
        <f>Source!U92</f>
        <v>113.63786346000001</v>
      </c>
      <c r="G114" s="4" t="s">
        <v>109</v>
      </c>
      <c r="H114" s="4" t="s">
        <v>110</v>
      </c>
      <c r="I114" s="4"/>
      <c r="J114" s="4"/>
      <c r="K114" s="4">
        <v>207</v>
      </c>
      <c r="L114" s="4">
        <v>21</v>
      </c>
      <c r="M114" s="4">
        <v>3</v>
      </c>
      <c r="N114" s="4" t="s">
        <v>3</v>
      </c>
      <c r="O114" s="4">
        <v>-1</v>
      </c>
      <c r="P114" s="4"/>
      <c r="Q114" s="4"/>
      <c r="R114" s="4"/>
      <c r="S114" s="4"/>
      <c r="T114" s="4"/>
      <c r="U114" s="4"/>
      <c r="V114" s="4"/>
      <c r="W114" s="4">
        <v>113.63786346000001</v>
      </c>
      <c r="X114" s="4">
        <v>1</v>
      </c>
      <c r="Y114" s="4">
        <v>113.63786346000001</v>
      </c>
      <c r="Z114" s="4"/>
      <c r="AA114" s="4"/>
      <c r="AB114" s="4"/>
    </row>
    <row r="115" spans="1:245" x14ac:dyDescent="0.2">
      <c r="A115" s="4">
        <v>50</v>
      </c>
      <c r="B115" s="4">
        <v>0</v>
      </c>
      <c r="C115" s="4">
        <v>0</v>
      </c>
      <c r="D115" s="4">
        <v>1</v>
      </c>
      <c r="E115" s="4">
        <v>208</v>
      </c>
      <c r="F115" s="4">
        <f>Source!V92</f>
        <v>0</v>
      </c>
      <c r="G115" s="4" t="s">
        <v>111</v>
      </c>
      <c r="H115" s="4" t="s">
        <v>112</v>
      </c>
      <c r="I115" s="4"/>
      <c r="J115" s="4"/>
      <c r="K115" s="4">
        <v>208</v>
      </c>
      <c r="L115" s="4">
        <v>22</v>
      </c>
      <c r="M115" s="4">
        <v>3</v>
      </c>
      <c r="N115" s="4" t="s">
        <v>3</v>
      </c>
      <c r="O115" s="4">
        <v>-1</v>
      </c>
      <c r="P115" s="4"/>
      <c r="Q115" s="4"/>
      <c r="R115" s="4"/>
      <c r="S115" s="4"/>
      <c r="T115" s="4"/>
      <c r="U115" s="4"/>
      <c r="V115" s="4"/>
      <c r="W115" s="4">
        <v>0</v>
      </c>
      <c r="X115" s="4">
        <v>1</v>
      </c>
      <c r="Y115" s="4">
        <v>0</v>
      </c>
      <c r="Z115" s="4"/>
      <c r="AA115" s="4"/>
      <c r="AB115" s="4"/>
    </row>
    <row r="116" spans="1:245" x14ac:dyDescent="0.2">
      <c r="A116" s="4">
        <v>50</v>
      </c>
      <c r="B116" s="4">
        <v>0</v>
      </c>
      <c r="C116" s="4">
        <v>0</v>
      </c>
      <c r="D116" s="4">
        <v>1</v>
      </c>
      <c r="E116" s="4">
        <v>209</v>
      </c>
      <c r="F116" s="4">
        <f>ROUND(Source!W92,O116)</f>
        <v>0</v>
      </c>
      <c r="G116" s="4" t="s">
        <v>113</v>
      </c>
      <c r="H116" s="4" t="s">
        <v>114</v>
      </c>
      <c r="I116" s="4"/>
      <c r="J116" s="4"/>
      <c r="K116" s="4">
        <v>209</v>
      </c>
      <c r="L116" s="4">
        <v>23</v>
      </c>
      <c r="M116" s="4">
        <v>3</v>
      </c>
      <c r="N116" s="4" t="s">
        <v>3</v>
      </c>
      <c r="O116" s="4">
        <v>2</v>
      </c>
      <c r="P116" s="4"/>
      <c r="Q116" s="4"/>
      <c r="R116" s="4"/>
      <c r="S116" s="4"/>
      <c r="T116" s="4"/>
      <c r="U116" s="4"/>
      <c r="V116" s="4"/>
      <c r="W116" s="4">
        <v>0</v>
      </c>
      <c r="X116" s="4">
        <v>1</v>
      </c>
      <c r="Y116" s="4">
        <v>0</v>
      </c>
      <c r="Z116" s="4"/>
      <c r="AA116" s="4"/>
      <c r="AB116" s="4"/>
    </row>
    <row r="117" spans="1:245" x14ac:dyDescent="0.2">
      <c r="A117" s="4">
        <v>50</v>
      </c>
      <c r="B117" s="4">
        <v>0</v>
      </c>
      <c r="C117" s="4">
        <v>0</v>
      </c>
      <c r="D117" s="4">
        <v>1</v>
      </c>
      <c r="E117" s="4">
        <v>233</v>
      </c>
      <c r="F117" s="4">
        <f>ROUND(Source!BD92,O117)</f>
        <v>0</v>
      </c>
      <c r="G117" s="4" t="s">
        <v>115</v>
      </c>
      <c r="H117" s="4" t="s">
        <v>116</v>
      </c>
      <c r="I117" s="4"/>
      <c r="J117" s="4"/>
      <c r="K117" s="4">
        <v>233</v>
      </c>
      <c r="L117" s="4">
        <v>24</v>
      </c>
      <c r="M117" s="4">
        <v>3</v>
      </c>
      <c r="N117" s="4" t="s">
        <v>3</v>
      </c>
      <c r="O117" s="4">
        <v>2</v>
      </c>
      <c r="P117" s="4"/>
      <c r="Q117" s="4"/>
      <c r="R117" s="4"/>
      <c r="S117" s="4"/>
      <c r="T117" s="4"/>
      <c r="U117" s="4"/>
      <c r="V117" s="4"/>
      <c r="W117" s="4">
        <v>0</v>
      </c>
      <c r="X117" s="4">
        <v>1</v>
      </c>
      <c r="Y117" s="4">
        <v>0</v>
      </c>
      <c r="Z117" s="4"/>
      <c r="AA117" s="4"/>
      <c r="AB117" s="4"/>
    </row>
    <row r="118" spans="1:245" x14ac:dyDescent="0.2">
      <c r="A118" s="4">
        <v>50</v>
      </c>
      <c r="B118" s="4">
        <v>0</v>
      </c>
      <c r="C118" s="4">
        <v>0</v>
      </c>
      <c r="D118" s="4">
        <v>1</v>
      </c>
      <c r="E118" s="4">
        <v>210</v>
      </c>
      <c r="F118" s="4">
        <f>ROUND(Source!X92,O118)</f>
        <v>37227.82</v>
      </c>
      <c r="G118" s="4" t="s">
        <v>117</v>
      </c>
      <c r="H118" s="4" t="s">
        <v>118</v>
      </c>
      <c r="I118" s="4"/>
      <c r="J118" s="4"/>
      <c r="K118" s="4">
        <v>210</v>
      </c>
      <c r="L118" s="4">
        <v>25</v>
      </c>
      <c r="M118" s="4">
        <v>3</v>
      </c>
      <c r="N118" s="4" t="s">
        <v>3</v>
      </c>
      <c r="O118" s="4">
        <v>2</v>
      </c>
      <c r="P118" s="4"/>
      <c r="Q118" s="4"/>
      <c r="R118" s="4"/>
      <c r="S118" s="4"/>
      <c r="T118" s="4"/>
      <c r="U118" s="4"/>
      <c r="V118" s="4"/>
      <c r="W118" s="4">
        <v>37227.82</v>
      </c>
      <c r="X118" s="4">
        <v>1</v>
      </c>
      <c r="Y118" s="4">
        <v>37227.82</v>
      </c>
      <c r="Z118" s="4"/>
      <c r="AA118" s="4"/>
      <c r="AB118" s="4"/>
    </row>
    <row r="119" spans="1:245" x14ac:dyDescent="0.2">
      <c r="A119" s="4">
        <v>50</v>
      </c>
      <c r="B119" s="4">
        <v>0</v>
      </c>
      <c r="C119" s="4">
        <v>0</v>
      </c>
      <c r="D119" s="4">
        <v>1</v>
      </c>
      <c r="E119" s="4">
        <v>211</v>
      </c>
      <c r="F119" s="4">
        <f>ROUND(Source!Y92,O119)</f>
        <v>17329.36</v>
      </c>
      <c r="G119" s="4" t="s">
        <v>119</v>
      </c>
      <c r="H119" s="4" t="s">
        <v>120</v>
      </c>
      <c r="I119" s="4"/>
      <c r="J119" s="4"/>
      <c r="K119" s="4">
        <v>211</v>
      </c>
      <c r="L119" s="4">
        <v>26</v>
      </c>
      <c r="M119" s="4">
        <v>3</v>
      </c>
      <c r="N119" s="4" t="s">
        <v>3</v>
      </c>
      <c r="O119" s="4">
        <v>2</v>
      </c>
      <c r="P119" s="4"/>
      <c r="Q119" s="4"/>
      <c r="R119" s="4"/>
      <c r="S119" s="4"/>
      <c r="T119" s="4"/>
      <c r="U119" s="4"/>
      <c r="V119" s="4"/>
      <c r="W119" s="4">
        <v>17329.36</v>
      </c>
      <c r="X119" s="4">
        <v>1</v>
      </c>
      <c r="Y119" s="4">
        <v>17329.36</v>
      </c>
      <c r="Z119" s="4"/>
      <c r="AA119" s="4"/>
      <c r="AB119" s="4"/>
    </row>
    <row r="120" spans="1:245" x14ac:dyDescent="0.2">
      <c r="A120" s="4">
        <v>50</v>
      </c>
      <c r="B120" s="4">
        <v>0</v>
      </c>
      <c r="C120" s="4">
        <v>0</v>
      </c>
      <c r="D120" s="4">
        <v>1</v>
      </c>
      <c r="E120" s="4">
        <v>224</v>
      </c>
      <c r="F120" s="4">
        <f>ROUND(Source!AR92,O120)</f>
        <v>159935.54999999999</v>
      </c>
      <c r="G120" s="4" t="s">
        <v>121</v>
      </c>
      <c r="H120" s="4" t="s">
        <v>122</v>
      </c>
      <c r="I120" s="4"/>
      <c r="J120" s="4"/>
      <c r="K120" s="4">
        <v>224</v>
      </c>
      <c r="L120" s="4">
        <v>27</v>
      </c>
      <c r="M120" s="4">
        <v>3</v>
      </c>
      <c r="N120" s="4" t="s">
        <v>3</v>
      </c>
      <c r="O120" s="4">
        <v>2</v>
      </c>
      <c r="P120" s="4"/>
      <c r="Q120" s="4"/>
      <c r="R120" s="4"/>
      <c r="S120" s="4"/>
      <c r="T120" s="4"/>
      <c r="U120" s="4"/>
      <c r="V120" s="4"/>
      <c r="W120" s="4">
        <v>159935.54999999999</v>
      </c>
      <c r="X120" s="4">
        <v>1</v>
      </c>
      <c r="Y120" s="4">
        <v>159935.54999999999</v>
      </c>
      <c r="Z120" s="4"/>
      <c r="AA120" s="4"/>
      <c r="AB120" s="4"/>
    </row>
    <row r="122" spans="1:245" x14ac:dyDescent="0.2">
      <c r="A122" s="1">
        <v>4</v>
      </c>
      <c r="B122" s="1">
        <v>1</v>
      </c>
      <c r="C122" s="1"/>
      <c r="D122" s="1">
        <f>ROW(A129)</f>
        <v>129</v>
      </c>
      <c r="E122" s="1"/>
      <c r="F122" s="1" t="s">
        <v>15</v>
      </c>
      <c r="G122" s="1" t="s">
        <v>204</v>
      </c>
      <c r="H122" s="1" t="s">
        <v>3</v>
      </c>
      <c r="I122" s="1">
        <v>0</v>
      </c>
      <c r="J122" s="1"/>
      <c r="K122" s="1">
        <v>0</v>
      </c>
      <c r="L122" s="1"/>
      <c r="M122" s="1" t="s">
        <v>3</v>
      </c>
      <c r="N122" s="1"/>
      <c r="O122" s="1"/>
      <c r="P122" s="1"/>
      <c r="Q122" s="1"/>
      <c r="R122" s="1"/>
      <c r="S122" s="1">
        <v>0</v>
      </c>
      <c r="T122" s="1"/>
      <c r="U122" s="1" t="s">
        <v>3</v>
      </c>
      <c r="V122" s="1">
        <v>0</v>
      </c>
      <c r="W122" s="1"/>
      <c r="X122" s="1"/>
      <c r="Y122" s="1"/>
      <c r="Z122" s="1"/>
      <c r="AA122" s="1"/>
      <c r="AB122" s="1" t="s">
        <v>3</v>
      </c>
      <c r="AC122" s="1" t="s">
        <v>3</v>
      </c>
      <c r="AD122" s="1" t="s">
        <v>3</v>
      </c>
      <c r="AE122" s="1" t="s">
        <v>3</v>
      </c>
      <c r="AF122" s="1" t="s">
        <v>3</v>
      </c>
      <c r="AG122" s="1" t="s">
        <v>3</v>
      </c>
      <c r="AH122" s="1"/>
      <c r="AI122" s="1"/>
      <c r="AJ122" s="1"/>
      <c r="AK122" s="1"/>
      <c r="AL122" s="1"/>
      <c r="AM122" s="1"/>
      <c r="AN122" s="1"/>
      <c r="AO122" s="1"/>
      <c r="AP122" s="1" t="s">
        <v>3</v>
      </c>
      <c r="AQ122" s="1" t="s">
        <v>3</v>
      </c>
      <c r="AR122" s="1" t="s">
        <v>3</v>
      </c>
      <c r="AS122" s="1"/>
      <c r="AT122" s="1"/>
      <c r="AU122" s="1"/>
      <c r="AV122" s="1"/>
      <c r="AW122" s="1"/>
      <c r="AX122" s="1"/>
      <c r="AY122" s="1"/>
      <c r="AZ122" s="1" t="s">
        <v>3</v>
      </c>
      <c r="BA122" s="1"/>
      <c r="BB122" s="1" t="s">
        <v>3</v>
      </c>
      <c r="BC122" s="1" t="s">
        <v>3</v>
      </c>
      <c r="BD122" s="1" t="s">
        <v>3</v>
      </c>
      <c r="BE122" s="1" t="s">
        <v>3</v>
      </c>
      <c r="BF122" s="1" t="s">
        <v>3</v>
      </c>
      <c r="BG122" s="1" t="s">
        <v>3</v>
      </c>
      <c r="BH122" s="1" t="s">
        <v>3</v>
      </c>
      <c r="BI122" s="1" t="s">
        <v>3</v>
      </c>
      <c r="BJ122" s="1" t="s">
        <v>3</v>
      </c>
      <c r="BK122" s="1" t="s">
        <v>3</v>
      </c>
      <c r="BL122" s="1" t="s">
        <v>3</v>
      </c>
      <c r="BM122" s="1" t="s">
        <v>3</v>
      </c>
      <c r="BN122" s="1" t="s">
        <v>3</v>
      </c>
      <c r="BO122" s="1" t="s">
        <v>3</v>
      </c>
      <c r="BP122" s="1" t="s">
        <v>3</v>
      </c>
      <c r="BQ122" s="1"/>
      <c r="BR122" s="1"/>
      <c r="BS122" s="1"/>
      <c r="BT122" s="1"/>
      <c r="BU122" s="1"/>
      <c r="BV122" s="1"/>
      <c r="BW122" s="1"/>
      <c r="BX122" s="1">
        <v>0</v>
      </c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>
        <v>0</v>
      </c>
    </row>
    <row r="124" spans="1:245" x14ac:dyDescent="0.2">
      <c r="A124" s="2">
        <v>52</v>
      </c>
      <c r="B124" s="2">
        <f t="shared" ref="B124:G124" si="142">B129</f>
        <v>1</v>
      </c>
      <c r="C124" s="2">
        <f t="shared" si="142"/>
        <v>4</v>
      </c>
      <c r="D124" s="2">
        <f t="shared" si="142"/>
        <v>122</v>
      </c>
      <c r="E124" s="2">
        <f t="shared" si="142"/>
        <v>0</v>
      </c>
      <c r="F124" s="2" t="str">
        <f t="shared" si="142"/>
        <v>Новый раздел</v>
      </c>
      <c r="G124" s="2" t="str">
        <f t="shared" si="142"/>
        <v>Стоимость оборудования</v>
      </c>
      <c r="H124" s="2"/>
      <c r="I124" s="2"/>
      <c r="J124" s="2"/>
      <c r="K124" s="2"/>
      <c r="L124" s="2"/>
      <c r="M124" s="2"/>
      <c r="N124" s="2"/>
      <c r="O124" s="2">
        <f t="shared" ref="O124:AT124" si="143">O129</f>
        <v>2560225.0299999998</v>
      </c>
      <c r="P124" s="2">
        <f t="shared" si="143"/>
        <v>2560225.0299999998</v>
      </c>
      <c r="Q124" s="2">
        <f t="shared" si="143"/>
        <v>0</v>
      </c>
      <c r="R124" s="2">
        <f t="shared" si="143"/>
        <v>0</v>
      </c>
      <c r="S124" s="2">
        <f t="shared" si="143"/>
        <v>0</v>
      </c>
      <c r="T124" s="2">
        <f t="shared" si="143"/>
        <v>0</v>
      </c>
      <c r="U124" s="2">
        <f t="shared" si="143"/>
        <v>0</v>
      </c>
      <c r="V124" s="2">
        <f t="shared" si="143"/>
        <v>0</v>
      </c>
      <c r="W124" s="2">
        <f t="shared" si="143"/>
        <v>0</v>
      </c>
      <c r="X124" s="2">
        <f t="shared" si="143"/>
        <v>0</v>
      </c>
      <c r="Y124" s="2">
        <f t="shared" si="143"/>
        <v>0</v>
      </c>
      <c r="Z124" s="2">
        <f t="shared" si="143"/>
        <v>0</v>
      </c>
      <c r="AA124" s="2">
        <f t="shared" si="143"/>
        <v>0</v>
      </c>
      <c r="AB124" s="2">
        <f t="shared" si="143"/>
        <v>2560225.0299999998</v>
      </c>
      <c r="AC124" s="2">
        <f t="shared" si="143"/>
        <v>2560225.0299999998</v>
      </c>
      <c r="AD124" s="2">
        <f t="shared" si="143"/>
        <v>0</v>
      </c>
      <c r="AE124" s="2">
        <f t="shared" si="143"/>
        <v>0</v>
      </c>
      <c r="AF124" s="2">
        <f t="shared" si="143"/>
        <v>0</v>
      </c>
      <c r="AG124" s="2">
        <f t="shared" si="143"/>
        <v>0</v>
      </c>
      <c r="AH124" s="2">
        <f t="shared" si="143"/>
        <v>0</v>
      </c>
      <c r="AI124" s="2">
        <f t="shared" si="143"/>
        <v>0</v>
      </c>
      <c r="AJ124" s="2">
        <f t="shared" si="143"/>
        <v>0</v>
      </c>
      <c r="AK124" s="2">
        <f t="shared" si="143"/>
        <v>0</v>
      </c>
      <c r="AL124" s="2">
        <f t="shared" si="143"/>
        <v>0</v>
      </c>
      <c r="AM124" s="2">
        <f t="shared" si="143"/>
        <v>0</v>
      </c>
      <c r="AN124" s="2">
        <f t="shared" si="143"/>
        <v>0</v>
      </c>
      <c r="AO124" s="2">
        <f t="shared" si="143"/>
        <v>0</v>
      </c>
      <c r="AP124" s="2">
        <f t="shared" si="143"/>
        <v>2560225.0299999998</v>
      </c>
      <c r="AQ124" s="2">
        <f t="shared" si="143"/>
        <v>0</v>
      </c>
      <c r="AR124" s="2">
        <f t="shared" si="143"/>
        <v>2560225.0299999998</v>
      </c>
      <c r="AS124" s="2">
        <f t="shared" si="143"/>
        <v>0</v>
      </c>
      <c r="AT124" s="2">
        <f t="shared" si="143"/>
        <v>0</v>
      </c>
      <c r="AU124" s="2">
        <f t="shared" ref="AU124:BZ124" si="144">AU129</f>
        <v>0</v>
      </c>
      <c r="AV124" s="2">
        <f t="shared" si="144"/>
        <v>2560225.0299999998</v>
      </c>
      <c r="AW124" s="2">
        <f t="shared" si="144"/>
        <v>0</v>
      </c>
      <c r="AX124" s="2">
        <f t="shared" si="144"/>
        <v>0</v>
      </c>
      <c r="AY124" s="2">
        <f t="shared" si="144"/>
        <v>0</v>
      </c>
      <c r="AZ124" s="2">
        <f t="shared" si="144"/>
        <v>2560225.0299999998</v>
      </c>
      <c r="BA124" s="2">
        <f t="shared" si="144"/>
        <v>0</v>
      </c>
      <c r="BB124" s="2">
        <f t="shared" si="144"/>
        <v>0</v>
      </c>
      <c r="BC124" s="2">
        <f t="shared" si="144"/>
        <v>0</v>
      </c>
      <c r="BD124" s="2">
        <f t="shared" si="144"/>
        <v>0</v>
      </c>
      <c r="BE124" s="2">
        <f t="shared" si="144"/>
        <v>0</v>
      </c>
      <c r="BF124" s="2">
        <f t="shared" si="144"/>
        <v>0</v>
      </c>
      <c r="BG124" s="2">
        <f t="shared" si="144"/>
        <v>0</v>
      </c>
      <c r="BH124" s="2">
        <f t="shared" si="144"/>
        <v>0</v>
      </c>
      <c r="BI124" s="2">
        <f t="shared" si="144"/>
        <v>0</v>
      </c>
      <c r="BJ124" s="2">
        <f t="shared" si="144"/>
        <v>0</v>
      </c>
      <c r="BK124" s="2">
        <f t="shared" si="144"/>
        <v>0</v>
      </c>
      <c r="BL124" s="2">
        <f t="shared" si="144"/>
        <v>0</v>
      </c>
      <c r="BM124" s="2">
        <f t="shared" si="144"/>
        <v>0</v>
      </c>
      <c r="BN124" s="2">
        <f t="shared" si="144"/>
        <v>0</v>
      </c>
      <c r="BO124" s="2">
        <f t="shared" si="144"/>
        <v>0</v>
      </c>
      <c r="BP124" s="2">
        <f t="shared" si="144"/>
        <v>0</v>
      </c>
      <c r="BQ124" s="2">
        <f t="shared" si="144"/>
        <v>0</v>
      </c>
      <c r="BR124" s="2">
        <f t="shared" si="144"/>
        <v>0</v>
      </c>
      <c r="BS124" s="2">
        <f t="shared" si="144"/>
        <v>0</v>
      </c>
      <c r="BT124" s="2">
        <f t="shared" si="144"/>
        <v>0</v>
      </c>
      <c r="BU124" s="2">
        <f t="shared" si="144"/>
        <v>0</v>
      </c>
      <c r="BV124" s="2">
        <f t="shared" si="144"/>
        <v>0</v>
      </c>
      <c r="BW124" s="2">
        <f t="shared" si="144"/>
        <v>0</v>
      </c>
      <c r="BX124" s="2">
        <f t="shared" si="144"/>
        <v>0</v>
      </c>
      <c r="BY124" s="2">
        <f t="shared" si="144"/>
        <v>2560225.0299999998</v>
      </c>
      <c r="BZ124" s="2">
        <f t="shared" si="144"/>
        <v>0</v>
      </c>
      <c r="CA124" s="2">
        <f t="shared" ref="CA124:DF124" si="145">CA129</f>
        <v>2560225.0299999998</v>
      </c>
      <c r="CB124" s="2">
        <f t="shared" si="145"/>
        <v>0</v>
      </c>
      <c r="CC124" s="2">
        <f t="shared" si="145"/>
        <v>0</v>
      </c>
      <c r="CD124" s="2">
        <f t="shared" si="145"/>
        <v>0</v>
      </c>
      <c r="CE124" s="2">
        <f t="shared" si="145"/>
        <v>2560225.0299999998</v>
      </c>
      <c r="CF124" s="2">
        <f t="shared" si="145"/>
        <v>0</v>
      </c>
      <c r="CG124" s="2">
        <f t="shared" si="145"/>
        <v>0</v>
      </c>
      <c r="CH124" s="2">
        <f t="shared" si="145"/>
        <v>0</v>
      </c>
      <c r="CI124" s="2">
        <f t="shared" si="145"/>
        <v>2560225.0299999998</v>
      </c>
      <c r="CJ124" s="2">
        <f t="shared" si="145"/>
        <v>0</v>
      </c>
      <c r="CK124" s="2">
        <f t="shared" si="145"/>
        <v>0</v>
      </c>
      <c r="CL124" s="2">
        <f t="shared" si="145"/>
        <v>0</v>
      </c>
      <c r="CM124" s="2">
        <f t="shared" si="145"/>
        <v>0</v>
      </c>
      <c r="CN124" s="2">
        <f t="shared" si="145"/>
        <v>0</v>
      </c>
      <c r="CO124" s="2">
        <f t="shared" si="145"/>
        <v>0</v>
      </c>
      <c r="CP124" s="2">
        <f t="shared" si="145"/>
        <v>0</v>
      </c>
      <c r="CQ124" s="2">
        <f t="shared" si="145"/>
        <v>0</v>
      </c>
      <c r="CR124" s="2">
        <f t="shared" si="145"/>
        <v>0</v>
      </c>
      <c r="CS124" s="2">
        <f t="shared" si="145"/>
        <v>0</v>
      </c>
      <c r="CT124" s="2">
        <f t="shared" si="145"/>
        <v>0</v>
      </c>
      <c r="CU124" s="2">
        <f t="shared" si="145"/>
        <v>0</v>
      </c>
      <c r="CV124" s="2">
        <f t="shared" si="145"/>
        <v>0</v>
      </c>
      <c r="CW124" s="2">
        <f t="shared" si="145"/>
        <v>0</v>
      </c>
      <c r="CX124" s="2">
        <f t="shared" si="145"/>
        <v>0</v>
      </c>
      <c r="CY124" s="2">
        <f t="shared" si="145"/>
        <v>0</v>
      </c>
      <c r="CZ124" s="2">
        <f t="shared" si="145"/>
        <v>0</v>
      </c>
      <c r="DA124" s="2">
        <f t="shared" si="145"/>
        <v>0</v>
      </c>
      <c r="DB124" s="2">
        <f t="shared" si="145"/>
        <v>0</v>
      </c>
      <c r="DC124" s="2">
        <f t="shared" si="145"/>
        <v>0</v>
      </c>
      <c r="DD124" s="2">
        <f t="shared" si="145"/>
        <v>0</v>
      </c>
      <c r="DE124" s="2">
        <f t="shared" si="145"/>
        <v>0</v>
      </c>
      <c r="DF124" s="2">
        <f t="shared" si="145"/>
        <v>0</v>
      </c>
      <c r="DG124" s="3">
        <f t="shared" ref="DG124:EL124" si="146">DG129</f>
        <v>0</v>
      </c>
      <c r="DH124" s="3">
        <f t="shared" si="146"/>
        <v>0</v>
      </c>
      <c r="DI124" s="3">
        <f t="shared" si="146"/>
        <v>0</v>
      </c>
      <c r="DJ124" s="3">
        <f t="shared" si="146"/>
        <v>0</v>
      </c>
      <c r="DK124" s="3">
        <f t="shared" si="146"/>
        <v>0</v>
      </c>
      <c r="DL124" s="3">
        <f t="shared" si="146"/>
        <v>0</v>
      </c>
      <c r="DM124" s="3">
        <f t="shared" si="146"/>
        <v>0</v>
      </c>
      <c r="DN124" s="3">
        <f t="shared" si="146"/>
        <v>0</v>
      </c>
      <c r="DO124" s="3">
        <f t="shared" si="146"/>
        <v>0</v>
      </c>
      <c r="DP124" s="3">
        <f t="shared" si="146"/>
        <v>0</v>
      </c>
      <c r="DQ124" s="3">
        <f t="shared" si="146"/>
        <v>0</v>
      </c>
      <c r="DR124" s="3">
        <f t="shared" si="146"/>
        <v>0</v>
      </c>
      <c r="DS124" s="3">
        <f t="shared" si="146"/>
        <v>0</v>
      </c>
      <c r="DT124" s="3">
        <f t="shared" si="146"/>
        <v>0</v>
      </c>
      <c r="DU124" s="3">
        <f t="shared" si="146"/>
        <v>0</v>
      </c>
      <c r="DV124" s="3">
        <f t="shared" si="146"/>
        <v>0</v>
      </c>
      <c r="DW124" s="3">
        <f t="shared" si="146"/>
        <v>0</v>
      </c>
      <c r="DX124" s="3">
        <f t="shared" si="146"/>
        <v>0</v>
      </c>
      <c r="DY124" s="3">
        <f t="shared" si="146"/>
        <v>0</v>
      </c>
      <c r="DZ124" s="3">
        <f t="shared" si="146"/>
        <v>0</v>
      </c>
      <c r="EA124" s="3">
        <f t="shared" si="146"/>
        <v>0</v>
      </c>
      <c r="EB124" s="3">
        <f t="shared" si="146"/>
        <v>0</v>
      </c>
      <c r="EC124" s="3">
        <f t="shared" si="146"/>
        <v>0</v>
      </c>
      <c r="ED124" s="3">
        <f t="shared" si="146"/>
        <v>0</v>
      </c>
      <c r="EE124" s="3">
        <f t="shared" si="146"/>
        <v>0</v>
      </c>
      <c r="EF124" s="3">
        <f t="shared" si="146"/>
        <v>0</v>
      </c>
      <c r="EG124" s="3">
        <f t="shared" si="146"/>
        <v>0</v>
      </c>
      <c r="EH124" s="3">
        <f t="shared" si="146"/>
        <v>0</v>
      </c>
      <c r="EI124" s="3">
        <f t="shared" si="146"/>
        <v>0</v>
      </c>
      <c r="EJ124" s="3">
        <f t="shared" si="146"/>
        <v>0</v>
      </c>
      <c r="EK124" s="3">
        <f t="shared" si="146"/>
        <v>0</v>
      </c>
      <c r="EL124" s="3">
        <f t="shared" si="146"/>
        <v>0</v>
      </c>
      <c r="EM124" s="3">
        <f t="shared" ref="EM124:FR124" si="147">EM129</f>
        <v>0</v>
      </c>
      <c r="EN124" s="3">
        <f t="shared" si="147"/>
        <v>0</v>
      </c>
      <c r="EO124" s="3">
        <f t="shared" si="147"/>
        <v>0</v>
      </c>
      <c r="EP124" s="3">
        <f t="shared" si="147"/>
        <v>0</v>
      </c>
      <c r="EQ124" s="3">
        <f t="shared" si="147"/>
        <v>0</v>
      </c>
      <c r="ER124" s="3">
        <f t="shared" si="147"/>
        <v>0</v>
      </c>
      <c r="ES124" s="3">
        <f t="shared" si="147"/>
        <v>0</v>
      </c>
      <c r="ET124" s="3">
        <f t="shared" si="147"/>
        <v>0</v>
      </c>
      <c r="EU124" s="3">
        <f t="shared" si="147"/>
        <v>0</v>
      </c>
      <c r="EV124" s="3">
        <f t="shared" si="147"/>
        <v>0</v>
      </c>
      <c r="EW124" s="3">
        <f t="shared" si="147"/>
        <v>0</v>
      </c>
      <c r="EX124" s="3">
        <f t="shared" si="147"/>
        <v>0</v>
      </c>
      <c r="EY124" s="3">
        <f t="shared" si="147"/>
        <v>0</v>
      </c>
      <c r="EZ124" s="3">
        <f t="shared" si="147"/>
        <v>0</v>
      </c>
      <c r="FA124" s="3">
        <f t="shared" si="147"/>
        <v>0</v>
      </c>
      <c r="FB124" s="3">
        <f t="shared" si="147"/>
        <v>0</v>
      </c>
      <c r="FC124" s="3">
        <f t="shared" si="147"/>
        <v>0</v>
      </c>
      <c r="FD124" s="3">
        <f t="shared" si="147"/>
        <v>0</v>
      </c>
      <c r="FE124" s="3">
        <f t="shared" si="147"/>
        <v>0</v>
      </c>
      <c r="FF124" s="3">
        <f t="shared" si="147"/>
        <v>0</v>
      </c>
      <c r="FG124" s="3">
        <f t="shared" si="147"/>
        <v>0</v>
      </c>
      <c r="FH124" s="3">
        <f t="shared" si="147"/>
        <v>0</v>
      </c>
      <c r="FI124" s="3">
        <f t="shared" si="147"/>
        <v>0</v>
      </c>
      <c r="FJ124" s="3">
        <f t="shared" si="147"/>
        <v>0</v>
      </c>
      <c r="FK124" s="3">
        <f t="shared" si="147"/>
        <v>0</v>
      </c>
      <c r="FL124" s="3">
        <f t="shared" si="147"/>
        <v>0</v>
      </c>
      <c r="FM124" s="3">
        <f t="shared" si="147"/>
        <v>0</v>
      </c>
      <c r="FN124" s="3">
        <f t="shared" si="147"/>
        <v>0</v>
      </c>
      <c r="FO124" s="3">
        <f t="shared" si="147"/>
        <v>0</v>
      </c>
      <c r="FP124" s="3">
        <f t="shared" si="147"/>
        <v>0</v>
      </c>
      <c r="FQ124" s="3">
        <f t="shared" si="147"/>
        <v>0</v>
      </c>
      <c r="FR124" s="3">
        <f t="shared" si="147"/>
        <v>0</v>
      </c>
      <c r="FS124" s="3">
        <f t="shared" ref="FS124:GX124" si="148">FS129</f>
        <v>0</v>
      </c>
      <c r="FT124" s="3">
        <f t="shared" si="148"/>
        <v>0</v>
      </c>
      <c r="FU124" s="3">
        <f t="shared" si="148"/>
        <v>0</v>
      </c>
      <c r="FV124" s="3">
        <f t="shared" si="148"/>
        <v>0</v>
      </c>
      <c r="FW124" s="3">
        <f t="shared" si="148"/>
        <v>0</v>
      </c>
      <c r="FX124" s="3">
        <f t="shared" si="148"/>
        <v>0</v>
      </c>
      <c r="FY124" s="3">
        <f t="shared" si="148"/>
        <v>0</v>
      </c>
      <c r="FZ124" s="3">
        <f t="shared" si="148"/>
        <v>0</v>
      </c>
      <c r="GA124" s="3">
        <f t="shared" si="148"/>
        <v>0</v>
      </c>
      <c r="GB124" s="3">
        <f t="shared" si="148"/>
        <v>0</v>
      </c>
      <c r="GC124" s="3">
        <f t="shared" si="148"/>
        <v>0</v>
      </c>
      <c r="GD124" s="3">
        <f t="shared" si="148"/>
        <v>0</v>
      </c>
      <c r="GE124" s="3">
        <f t="shared" si="148"/>
        <v>0</v>
      </c>
      <c r="GF124" s="3">
        <f t="shared" si="148"/>
        <v>0</v>
      </c>
      <c r="GG124" s="3">
        <f t="shared" si="148"/>
        <v>0</v>
      </c>
      <c r="GH124" s="3">
        <f t="shared" si="148"/>
        <v>0</v>
      </c>
      <c r="GI124" s="3">
        <f t="shared" si="148"/>
        <v>0</v>
      </c>
      <c r="GJ124" s="3">
        <f t="shared" si="148"/>
        <v>0</v>
      </c>
      <c r="GK124" s="3">
        <f t="shared" si="148"/>
        <v>0</v>
      </c>
      <c r="GL124" s="3">
        <f t="shared" si="148"/>
        <v>0</v>
      </c>
      <c r="GM124" s="3">
        <f t="shared" si="148"/>
        <v>0</v>
      </c>
      <c r="GN124" s="3">
        <f t="shared" si="148"/>
        <v>0</v>
      </c>
      <c r="GO124" s="3">
        <f t="shared" si="148"/>
        <v>0</v>
      </c>
      <c r="GP124" s="3">
        <f t="shared" si="148"/>
        <v>0</v>
      </c>
      <c r="GQ124" s="3">
        <f t="shared" si="148"/>
        <v>0</v>
      </c>
      <c r="GR124" s="3">
        <f t="shared" si="148"/>
        <v>0</v>
      </c>
      <c r="GS124" s="3">
        <f t="shared" si="148"/>
        <v>0</v>
      </c>
      <c r="GT124" s="3">
        <f t="shared" si="148"/>
        <v>0</v>
      </c>
      <c r="GU124" s="3">
        <f t="shared" si="148"/>
        <v>0</v>
      </c>
      <c r="GV124" s="3">
        <f t="shared" si="148"/>
        <v>0</v>
      </c>
      <c r="GW124" s="3">
        <f t="shared" si="148"/>
        <v>0</v>
      </c>
      <c r="GX124" s="3">
        <f t="shared" si="148"/>
        <v>0</v>
      </c>
    </row>
    <row r="126" spans="1:245" x14ac:dyDescent="0.2">
      <c r="A126">
        <v>17</v>
      </c>
      <c r="B126">
        <v>1</v>
      </c>
      <c r="E126" t="s">
        <v>205</v>
      </c>
      <c r="F126" t="s">
        <v>206</v>
      </c>
      <c r="G126" t="s">
        <v>207</v>
      </c>
      <c r="H126" t="s">
        <v>208</v>
      </c>
      <c r="I126">
        <v>1</v>
      </c>
      <c r="J126">
        <v>0</v>
      </c>
      <c r="K126">
        <v>1</v>
      </c>
      <c r="O126">
        <f>ROUND(CP126,2)</f>
        <v>1979640.67</v>
      </c>
      <c r="P126">
        <f>ROUND(CQ126*I126,2)</f>
        <v>1979640.67</v>
      </c>
      <c r="Q126">
        <f>ROUND(CR126*I126,2)</f>
        <v>0</v>
      </c>
      <c r="R126">
        <f>ROUND(CS126*I126,2)</f>
        <v>0</v>
      </c>
      <c r="S126">
        <f>ROUND(CT126*I126,2)</f>
        <v>0</v>
      </c>
      <c r="T126">
        <f>ROUND(CU126*I126,2)</f>
        <v>0</v>
      </c>
      <c r="U126">
        <f>CV126*I126</f>
        <v>0</v>
      </c>
      <c r="V126">
        <f>CW126*I126</f>
        <v>0</v>
      </c>
      <c r="W126">
        <f>ROUND(CX126*I126,2)</f>
        <v>0</v>
      </c>
      <c r="X126">
        <f>ROUND(CY126,2)</f>
        <v>0</v>
      </c>
      <c r="Y126">
        <f>ROUND(CZ126,2)</f>
        <v>0</v>
      </c>
      <c r="AA126">
        <v>59267179</v>
      </c>
      <c r="AB126">
        <f>ROUND((AC126+AD126+AF126),6)</f>
        <v>319812.71000000002</v>
      </c>
      <c r="AC126">
        <f t="shared" ref="AC126:AF127" si="149">ROUND((ES126),6)</f>
        <v>319812.71000000002</v>
      </c>
      <c r="AD126">
        <f t="shared" si="149"/>
        <v>0</v>
      </c>
      <c r="AE126">
        <f t="shared" si="149"/>
        <v>0</v>
      </c>
      <c r="AF126">
        <f t="shared" si="149"/>
        <v>0</v>
      </c>
      <c r="AG126">
        <f>ROUND((AP126),6)</f>
        <v>0</v>
      </c>
      <c r="AH126">
        <f>(EW126)</f>
        <v>0</v>
      </c>
      <c r="AI126">
        <f>(EX126)</f>
        <v>0</v>
      </c>
      <c r="AJ126">
        <f>(AS126)</f>
        <v>0</v>
      </c>
      <c r="AK126">
        <v>319812.71000000002</v>
      </c>
      <c r="AL126">
        <v>319812.71000000002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1</v>
      </c>
      <c r="AW126">
        <v>1</v>
      </c>
      <c r="AZ126">
        <v>1</v>
      </c>
      <c r="BA126">
        <v>1</v>
      </c>
      <c r="BB126">
        <v>1</v>
      </c>
      <c r="BC126">
        <v>6.19</v>
      </c>
      <c r="BD126" t="s">
        <v>3</v>
      </c>
      <c r="BE126" t="s">
        <v>3</v>
      </c>
      <c r="BF126" t="s">
        <v>3</v>
      </c>
      <c r="BG126" t="s">
        <v>3</v>
      </c>
      <c r="BH126">
        <v>3</v>
      </c>
      <c r="BI126">
        <v>3</v>
      </c>
      <c r="BJ126" t="s">
        <v>3</v>
      </c>
      <c r="BM126">
        <v>746</v>
      </c>
      <c r="BN126">
        <v>0</v>
      </c>
      <c r="BO126" t="s">
        <v>3</v>
      </c>
      <c r="BP126">
        <v>0</v>
      </c>
      <c r="BQ126">
        <v>130</v>
      </c>
      <c r="BR126">
        <v>0</v>
      </c>
      <c r="BS126">
        <v>1</v>
      </c>
      <c r="BT126">
        <v>1</v>
      </c>
      <c r="BU126">
        <v>1</v>
      </c>
      <c r="BV126">
        <v>1</v>
      </c>
      <c r="BW126">
        <v>1</v>
      </c>
      <c r="BX126">
        <v>1</v>
      </c>
      <c r="BY126" t="s">
        <v>3</v>
      </c>
      <c r="BZ126">
        <v>0</v>
      </c>
      <c r="CA126">
        <v>0</v>
      </c>
      <c r="CB126" t="s">
        <v>3</v>
      </c>
      <c r="CE126">
        <v>0</v>
      </c>
      <c r="CF126">
        <v>0</v>
      </c>
      <c r="CG126">
        <v>0</v>
      </c>
      <c r="CM126">
        <v>0</v>
      </c>
      <c r="CN126" t="s">
        <v>3</v>
      </c>
      <c r="CO126">
        <v>0</v>
      </c>
      <c r="CP126">
        <f>(P126+Q126+S126)</f>
        <v>1979640.67</v>
      </c>
      <c r="CQ126">
        <f>(AC126*BC126*AW126)</f>
        <v>1979640.6749000002</v>
      </c>
      <c r="CR126">
        <f>(AD126*BB126*AV126)</f>
        <v>0</v>
      </c>
      <c r="CS126">
        <f>(AE126*BS126*AV126)</f>
        <v>0</v>
      </c>
      <c r="CT126">
        <f>(AF126*BA126*AV126)</f>
        <v>0</v>
      </c>
      <c r="CU126">
        <f>AG126</f>
        <v>0</v>
      </c>
      <c r="CV126">
        <f>(AH126*AV126)</f>
        <v>0</v>
      </c>
      <c r="CW126">
        <f>AI126</f>
        <v>0</v>
      </c>
      <c r="CX126">
        <f>AJ126</f>
        <v>0</v>
      </c>
      <c r="CY126">
        <f>S126*(BZ126/100)</f>
        <v>0</v>
      </c>
      <c r="CZ126">
        <f>S126*(CA126/100)</f>
        <v>0</v>
      </c>
      <c r="DC126" t="s">
        <v>3</v>
      </c>
      <c r="DD126" t="s">
        <v>3</v>
      </c>
      <c r="DE126" t="s">
        <v>3</v>
      </c>
      <c r="DF126" t="s">
        <v>3</v>
      </c>
      <c r="DG126" t="s">
        <v>3</v>
      </c>
      <c r="DH126" t="s">
        <v>3</v>
      </c>
      <c r="DI126" t="s">
        <v>3</v>
      </c>
      <c r="DJ126" t="s">
        <v>3</v>
      </c>
      <c r="DK126" t="s">
        <v>3</v>
      </c>
      <c r="DL126" t="s">
        <v>3</v>
      </c>
      <c r="DM126" t="s">
        <v>3</v>
      </c>
      <c r="DN126">
        <v>0</v>
      </c>
      <c r="DO126">
        <v>0</v>
      </c>
      <c r="DP126">
        <v>1</v>
      </c>
      <c r="DQ126">
        <v>1</v>
      </c>
      <c r="DU126">
        <v>1010</v>
      </c>
      <c r="DV126" t="s">
        <v>208</v>
      </c>
      <c r="DW126" t="s">
        <v>208</v>
      </c>
      <c r="DX126">
        <v>1</v>
      </c>
      <c r="DZ126" t="s">
        <v>3</v>
      </c>
      <c r="EA126" t="s">
        <v>3</v>
      </c>
      <c r="EB126" t="s">
        <v>3</v>
      </c>
      <c r="EC126" t="s">
        <v>3</v>
      </c>
      <c r="EE126">
        <v>42064350</v>
      </c>
      <c r="EF126">
        <v>130</v>
      </c>
      <c r="EG126" t="s">
        <v>209</v>
      </c>
      <c r="EH126">
        <v>0</v>
      </c>
      <c r="EI126" t="s">
        <v>3</v>
      </c>
      <c r="EJ126">
        <v>3</v>
      </c>
      <c r="EK126">
        <v>746</v>
      </c>
      <c r="EL126" t="s">
        <v>210</v>
      </c>
      <c r="EM126" t="s">
        <v>211</v>
      </c>
      <c r="EO126" t="s">
        <v>3</v>
      </c>
      <c r="EQ126">
        <v>0</v>
      </c>
      <c r="ER126">
        <v>319812.71000000002</v>
      </c>
      <c r="ES126">
        <v>319812.71000000002</v>
      </c>
      <c r="ET126">
        <v>0</v>
      </c>
      <c r="EU126">
        <v>0</v>
      </c>
      <c r="EV126">
        <v>0</v>
      </c>
      <c r="EW126">
        <v>0</v>
      </c>
      <c r="EX126">
        <v>0</v>
      </c>
      <c r="EY126">
        <v>0</v>
      </c>
      <c r="EZ126">
        <v>5</v>
      </c>
      <c r="FC126">
        <v>1</v>
      </c>
      <c r="FD126">
        <v>18</v>
      </c>
      <c r="FF126">
        <v>2347400</v>
      </c>
      <c r="FQ126">
        <v>0</v>
      </c>
      <c r="FR126">
        <f>ROUND(IF(AND(BH126=3,BI126=3),P126,0),2)</f>
        <v>1979640.67</v>
      </c>
      <c r="FS126">
        <v>0</v>
      </c>
      <c r="FX126">
        <v>0</v>
      </c>
      <c r="FY126">
        <v>0</v>
      </c>
      <c r="GA126" t="s">
        <v>212</v>
      </c>
      <c r="GD126">
        <v>0</v>
      </c>
      <c r="GF126">
        <v>-1909217554</v>
      </c>
      <c r="GG126">
        <v>2</v>
      </c>
      <c r="GH126">
        <v>3</v>
      </c>
      <c r="GI126">
        <v>3</v>
      </c>
      <c r="GJ126">
        <v>0</v>
      </c>
      <c r="GK126">
        <f>ROUND(R126*(R12)/100,2)</f>
        <v>0</v>
      </c>
      <c r="GL126">
        <f>ROUND(IF(AND(BH126=3,BI126=3,FS126&lt;&gt;0),P126,0),2)</f>
        <v>0</v>
      </c>
      <c r="GM126">
        <f>ROUND(O126+X126+Y126+GK126,2)+GX126</f>
        <v>1979640.67</v>
      </c>
      <c r="GN126">
        <f>IF(OR(BI126=0,BI126=1),ROUND(O126+X126+Y126+GK126,2),0)</f>
        <v>0</v>
      </c>
      <c r="GO126">
        <f>IF(BI126=2,ROUND(O126+X126+Y126+GK126,2),0)</f>
        <v>0</v>
      </c>
      <c r="GP126">
        <f>IF(BI126=4,ROUND(O126+X126+Y126+GK126,2)+GX126,0)</f>
        <v>0</v>
      </c>
      <c r="GR126">
        <v>1</v>
      </c>
      <c r="GS126">
        <v>1</v>
      </c>
      <c r="GT126">
        <v>0</v>
      </c>
      <c r="GU126" t="s">
        <v>3</v>
      </c>
      <c r="GV126">
        <f>ROUND((GT126),6)</f>
        <v>0</v>
      </c>
      <c r="GW126">
        <v>1</v>
      </c>
      <c r="GX126">
        <f>ROUND(HC126*I126,2)</f>
        <v>0</v>
      </c>
      <c r="HA126">
        <v>0</v>
      </c>
      <c r="HB126">
        <v>0</v>
      </c>
      <c r="HC126">
        <f>GV126*GW126</f>
        <v>0</v>
      </c>
      <c r="HE126" t="s">
        <v>213</v>
      </c>
      <c r="HF126" t="s">
        <v>214</v>
      </c>
      <c r="HM126" t="s">
        <v>3</v>
      </c>
      <c r="HN126" t="s">
        <v>3</v>
      </c>
      <c r="HO126" t="s">
        <v>3</v>
      </c>
      <c r="HP126" t="s">
        <v>3</v>
      </c>
      <c r="HQ126" t="s">
        <v>3</v>
      </c>
      <c r="IK126">
        <v>0</v>
      </c>
    </row>
    <row r="127" spans="1:245" x14ac:dyDescent="0.2">
      <c r="A127">
        <v>17</v>
      </c>
      <c r="B127">
        <v>1</v>
      </c>
      <c r="E127" t="s">
        <v>215</v>
      </c>
      <c r="F127" t="s">
        <v>206</v>
      </c>
      <c r="G127" t="s">
        <v>216</v>
      </c>
      <c r="H127" t="s">
        <v>208</v>
      </c>
      <c r="I127">
        <v>1</v>
      </c>
      <c r="J127">
        <v>0</v>
      </c>
      <c r="K127">
        <v>1</v>
      </c>
      <c r="O127">
        <f>ROUND(CP127,2)</f>
        <v>580584.36</v>
      </c>
      <c r="P127">
        <f>ROUND(CQ127*I127,2)</f>
        <v>580584.36</v>
      </c>
      <c r="Q127">
        <f>ROUND(CR127*I127,2)</f>
        <v>0</v>
      </c>
      <c r="R127">
        <f>ROUND(CS127*I127,2)</f>
        <v>0</v>
      </c>
      <c r="S127">
        <f>ROUND(CT127*I127,2)</f>
        <v>0</v>
      </c>
      <c r="T127">
        <f>ROUND(CU127*I127,2)</f>
        <v>0</v>
      </c>
      <c r="U127">
        <f>CV127*I127</f>
        <v>0</v>
      </c>
      <c r="V127">
        <f>CW127*I127</f>
        <v>0</v>
      </c>
      <c r="W127">
        <f>ROUND(CX127*I127,2)</f>
        <v>0</v>
      </c>
      <c r="X127">
        <f>ROUND(CY127,2)</f>
        <v>0</v>
      </c>
      <c r="Y127">
        <f>ROUND(CZ127,2)</f>
        <v>0</v>
      </c>
      <c r="AA127">
        <v>59267179</v>
      </c>
      <c r="AB127">
        <f>ROUND((AC127+AD127+AF127),6)</f>
        <v>93793.919999999998</v>
      </c>
      <c r="AC127">
        <f t="shared" si="149"/>
        <v>93793.919999999998</v>
      </c>
      <c r="AD127">
        <f t="shared" si="149"/>
        <v>0</v>
      </c>
      <c r="AE127">
        <f t="shared" si="149"/>
        <v>0</v>
      </c>
      <c r="AF127">
        <f t="shared" si="149"/>
        <v>0</v>
      </c>
      <c r="AG127">
        <f>ROUND((AP127),6)</f>
        <v>0</v>
      </c>
      <c r="AH127">
        <f>(EW127)</f>
        <v>0</v>
      </c>
      <c r="AI127">
        <f>(EX127)</f>
        <v>0</v>
      </c>
      <c r="AJ127">
        <f>(AS127)</f>
        <v>0</v>
      </c>
      <c r="AK127">
        <v>93793.919999999998</v>
      </c>
      <c r="AL127">
        <v>93793.919999999998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1</v>
      </c>
      <c r="AW127">
        <v>1</v>
      </c>
      <c r="AZ127">
        <v>1</v>
      </c>
      <c r="BA127">
        <v>1</v>
      </c>
      <c r="BB127">
        <v>1</v>
      </c>
      <c r="BC127">
        <v>6.19</v>
      </c>
      <c r="BD127" t="s">
        <v>3</v>
      </c>
      <c r="BE127" t="s">
        <v>3</v>
      </c>
      <c r="BF127" t="s">
        <v>3</v>
      </c>
      <c r="BG127" t="s">
        <v>3</v>
      </c>
      <c r="BH127">
        <v>3</v>
      </c>
      <c r="BI127">
        <v>3</v>
      </c>
      <c r="BJ127" t="s">
        <v>3</v>
      </c>
      <c r="BM127">
        <v>746</v>
      </c>
      <c r="BN127">
        <v>0</v>
      </c>
      <c r="BO127" t="s">
        <v>3</v>
      </c>
      <c r="BP127">
        <v>0</v>
      </c>
      <c r="BQ127">
        <v>130</v>
      </c>
      <c r="BR127">
        <v>0</v>
      </c>
      <c r="BS127">
        <v>1</v>
      </c>
      <c r="BT127">
        <v>1</v>
      </c>
      <c r="BU127">
        <v>1</v>
      </c>
      <c r="BV127">
        <v>1</v>
      </c>
      <c r="BW127">
        <v>1</v>
      </c>
      <c r="BX127">
        <v>1</v>
      </c>
      <c r="BY127" t="s">
        <v>3</v>
      </c>
      <c r="BZ127">
        <v>0</v>
      </c>
      <c r="CA127">
        <v>0</v>
      </c>
      <c r="CB127" t="s">
        <v>3</v>
      </c>
      <c r="CE127">
        <v>0</v>
      </c>
      <c r="CF127">
        <v>0</v>
      </c>
      <c r="CG127">
        <v>0</v>
      </c>
      <c r="CM127">
        <v>0</v>
      </c>
      <c r="CN127" t="s">
        <v>3</v>
      </c>
      <c r="CO127">
        <v>0</v>
      </c>
      <c r="CP127">
        <f>(P127+Q127+S127)</f>
        <v>580584.36</v>
      </c>
      <c r="CQ127">
        <f>(AC127*BC127*AW127)</f>
        <v>580584.36479999998</v>
      </c>
      <c r="CR127">
        <f>(AD127*BB127*AV127)</f>
        <v>0</v>
      </c>
      <c r="CS127">
        <f>(AE127*BS127*AV127)</f>
        <v>0</v>
      </c>
      <c r="CT127">
        <f>(AF127*BA127*AV127)</f>
        <v>0</v>
      </c>
      <c r="CU127">
        <f>AG127</f>
        <v>0</v>
      </c>
      <c r="CV127">
        <f>(AH127*AV127)</f>
        <v>0</v>
      </c>
      <c r="CW127">
        <f>AI127</f>
        <v>0</v>
      </c>
      <c r="CX127">
        <f>AJ127</f>
        <v>0</v>
      </c>
      <c r="CY127">
        <f>S127*(BZ127/100)</f>
        <v>0</v>
      </c>
      <c r="CZ127">
        <f>S127*(CA127/100)</f>
        <v>0</v>
      </c>
      <c r="DC127" t="s">
        <v>3</v>
      </c>
      <c r="DD127" t="s">
        <v>3</v>
      </c>
      <c r="DE127" t="s">
        <v>3</v>
      </c>
      <c r="DF127" t="s">
        <v>3</v>
      </c>
      <c r="DG127" t="s">
        <v>3</v>
      </c>
      <c r="DH127" t="s">
        <v>3</v>
      </c>
      <c r="DI127" t="s">
        <v>3</v>
      </c>
      <c r="DJ127" t="s">
        <v>3</v>
      </c>
      <c r="DK127" t="s">
        <v>3</v>
      </c>
      <c r="DL127" t="s">
        <v>3</v>
      </c>
      <c r="DM127" t="s">
        <v>3</v>
      </c>
      <c r="DN127">
        <v>0</v>
      </c>
      <c r="DO127">
        <v>0</v>
      </c>
      <c r="DP127">
        <v>1</v>
      </c>
      <c r="DQ127">
        <v>1</v>
      </c>
      <c r="DU127">
        <v>1010</v>
      </c>
      <c r="DV127" t="s">
        <v>208</v>
      </c>
      <c r="DW127" t="s">
        <v>208</v>
      </c>
      <c r="DX127">
        <v>1</v>
      </c>
      <c r="DZ127" t="s">
        <v>3</v>
      </c>
      <c r="EA127" t="s">
        <v>3</v>
      </c>
      <c r="EB127" t="s">
        <v>3</v>
      </c>
      <c r="EC127" t="s">
        <v>3</v>
      </c>
      <c r="EE127">
        <v>42064350</v>
      </c>
      <c r="EF127">
        <v>130</v>
      </c>
      <c r="EG127" t="s">
        <v>209</v>
      </c>
      <c r="EH127">
        <v>0</v>
      </c>
      <c r="EI127" t="s">
        <v>3</v>
      </c>
      <c r="EJ127">
        <v>3</v>
      </c>
      <c r="EK127">
        <v>746</v>
      </c>
      <c r="EL127" t="s">
        <v>210</v>
      </c>
      <c r="EM127" t="s">
        <v>211</v>
      </c>
      <c r="EO127" t="s">
        <v>3</v>
      </c>
      <c r="EQ127">
        <v>0</v>
      </c>
      <c r="ER127">
        <v>93793.919999999998</v>
      </c>
      <c r="ES127">
        <v>93793.919999999998</v>
      </c>
      <c r="ET127">
        <v>0</v>
      </c>
      <c r="EU127">
        <v>0</v>
      </c>
      <c r="EV127">
        <v>0</v>
      </c>
      <c r="EW127">
        <v>0</v>
      </c>
      <c r="EX127">
        <v>0</v>
      </c>
      <c r="EY127">
        <v>0</v>
      </c>
      <c r="EZ127">
        <v>5</v>
      </c>
      <c r="FC127">
        <v>1</v>
      </c>
      <c r="FD127">
        <v>18</v>
      </c>
      <c r="FF127">
        <v>688440</v>
      </c>
      <c r="FQ127">
        <v>0</v>
      </c>
      <c r="FR127">
        <f>ROUND(IF(AND(BH127=3,BI127=3),P127,0),2)</f>
        <v>580584.36</v>
      </c>
      <c r="FS127">
        <v>0</v>
      </c>
      <c r="FX127">
        <v>0</v>
      </c>
      <c r="FY127">
        <v>0</v>
      </c>
      <c r="GA127" t="s">
        <v>217</v>
      </c>
      <c r="GD127">
        <v>0</v>
      </c>
      <c r="GF127">
        <v>-250459288</v>
      </c>
      <c r="GG127">
        <v>2</v>
      </c>
      <c r="GH127">
        <v>3</v>
      </c>
      <c r="GI127">
        <v>3</v>
      </c>
      <c r="GJ127">
        <v>0</v>
      </c>
      <c r="GK127">
        <f>ROUND(R127*(R12)/100,2)</f>
        <v>0</v>
      </c>
      <c r="GL127">
        <f>ROUND(IF(AND(BH127=3,BI127=3,FS127&lt;&gt;0),P127,0),2)</f>
        <v>0</v>
      </c>
      <c r="GM127">
        <f>ROUND(O127+X127+Y127+GK127,2)+GX127</f>
        <v>580584.36</v>
      </c>
      <c r="GN127">
        <f>IF(OR(BI127=0,BI127=1),ROUND(O127+X127+Y127+GK127,2),0)</f>
        <v>0</v>
      </c>
      <c r="GO127">
        <f>IF(BI127=2,ROUND(O127+X127+Y127+GK127,2),0)</f>
        <v>0</v>
      </c>
      <c r="GP127">
        <f>IF(BI127=4,ROUND(O127+X127+Y127+GK127,2)+GX127,0)</f>
        <v>0</v>
      </c>
      <c r="GR127">
        <v>1</v>
      </c>
      <c r="GS127">
        <v>1</v>
      </c>
      <c r="GT127">
        <v>0</v>
      </c>
      <c r="GU127" t="s">
        <v>3</v>
      </c>
      <c r="GV127">
        <f>ROUND((GT127),6)</f>
        <v>0</v>
      </c>
      <c r="GW127">
        <v>1</v>
      </c>
      <c r="GX127">
        <f>ROUND(HC127*I127,2)</f>
        <v>0</v>
      </c>
      <c r="HA127">
        <v>0</v>
      </c>
      <c r="HB127">
        <v>0</v>
      </c>
      <c r="HC127">
        <f>GV127*GW127</f>
        <v>0</v>
      </c>
      <c r="HE127" t="s">
        <v>213</v>
      </c>
      <c r="HF127" t="s">
        <v>214</v>
      </c>
      <c r="HM127" t="s">
        <v>3</v>
      </c>
      <c r="HN127" t="s">
        <v>3</v>
      </c>
      <c r="HO127" t="s">
        <v>3</v>
      </c>
      <c r="HP127" t="s">
        <v>3</v>
      </c>
      <c r="HQ127" t="s">
        <v>3</v>
      </c>
      <c r="IK127">
        <v>0</v>
      </c>
    </row>
    <row r="129" spans="1:206" x14ac:dyDescent="0.2">
      <c r="A129" s="2">
        <v>51</v>
      </c>
      <c r="B129" s="2">
        <f>B122</f>
        <v>1</v>
      </c>
      <c r="C129" s="2">
        <f>A122</f>
        <v>4</v>
      </c>
      <c r="D129" s="2">
        <f>ROW(A122)</f>
        <v>122</v>
      </c>
      <c r="E129" s="2"/>
      <c r="F129" s="2" t="str">
        <f>IF(F122&lt;&gt;"",F122,"")</f>
        <v>Новый раздел</v>
      </c>
      <c r="G129" s="2" t="str">
        <f>IF(G122&lt;&gt;"",G122,"")</f>
        <v>Стоимость оборудования</v>
      </c>
      <c r="H129" s="2">
        <v>0</v>
      </c>
      <c r="I129" s="2"/>
      <c r="J129" s="2"/>
      <c r="K129" s="2"/>
      <c r="L129" s="2"/>
      <c r="M129" s="2"/>
      <c r="N129" s="2"/>
      <c r="O129" s="2">
        <f t="shared" ref="O129:T129" si="150">ROUND(AB129,2)</f>
        <v>2560225.0299999998</v>
      </c>
      <c r="P129" s="2">
        <f t="shared" si="150"/>
        <v>2560225.0299999998</v>
      </c>
      <c r="Q129" s="2">
        <f t="shared" si="150"/>
        <v>0</v>
      </c>
      <c r="R129" s="2">
        <f t="shared" si="150"/>
        <v>0</v>
      </c>
      <c r="S129" s="2">
        <f t="shared" si="150"/>
        <v>0</v>
      </c>
      <c r="T129" s="2">
        <f t="shared" si="150"/>
        <v>0</v>
      </c>
      <c r="U129" s="2">
        <f>AH129</f>
        <v>0</v>
      </c>
      <c r="V129" s="2">
        <f>AI129</f>
        <v>0</v>
      </c>
      <c r="W129" s="2">
        <f>ROUND(AJ129,2)</f>
        <v>0</v>
      </c>
      <c r="X129" s="2">
        <f>ROUND(AK129,2)</f>
        <v>0</v>
      </c>
      <c r="Y129" s="2">
        <f>ROUND(AL129,2)</f>
        <v>0</v>
      </c>
      <c r="Z129" s="2"/>
      <c r="AA129" s="2"/>
      <c r="AB129" s="2">
        <f>ROUND(SUMIF(AA126:AA127,"=59267179",O126:O127),2)</f>
        <v>2560225.0299999998</v>
      </c>
      <c r="AC129" s="2">
        <f>ROUND(SUMIF(AA126:AA127,"=59267179",P126:P127),2)</f>
        <v>2560225.0299999998</v>
      </c>
      <c r="AD129" s="2">
        <f>ROUND(SUMIF(AA126:AA127,"=59267179",Q126:Q127),2)</f>
        <v>0</v>
      </c>
      <c r="AE129" s="2">
        <f>ROUND(SUMIF(AA126:AA127,"=59267179",R126:R127),2)</f>
        <v>0</v>
      </c>
      <c r="AF129" s="2">
        <f>ROUND(SUMIF(AA126:AA127,"=59267179",S126:S127),2)</f>
        <v>0</v>
      </c>
      <c r="AG129" s="2">
        <f>ROUND(SUMIF(AA126:AA127,"=59267179",T126:T127),2)</f>
        <v>0</v>
      </c>
      <c r="AH129" s="2">
        <f>SUMIF(AA126:AA127,"=59267179",U126:U127)</f>
        <v>0</v>
      </c>
      <c r="AI129" s="2">
        <f>SUMIF(AA126:AA127,"=59267179",V126:V127)</f>
        <v>0</v>
      </c>
      <c r="AJ129" s="2">
        <f>ROUND(SUMIF(AA126:AA127,"=59267179",W126:W127),2)</f>
        <v>0</v>
      </c>
      <c r="AK129" s="2">
        <f>ROUND(SUMIF(AA126:AA127,"=59267179",X126:X127),2)</f>
        <v>0</v>
      </c>
      <c r="AL129" s="2">
        <f>ROUND(SUMIF(AA126:AA127,"=59267179",Y126:Y127),2)</f>
        <v>0</v>
      </c>
      <c r="AM129" s="2"/>
      <c r="AN129" s="2"/>
      <c r="AO129" s="2">
        <f t="shared" ref="AO129:BD129" si="151">ROUND(BX129,2)</f>
        <v>0</v>
      </c>
      <c r="AP129" s="2">
        <f t="shared" si="151"/>
        <v>2560225.0299999998</v>
      </c>
      <c r="AQ129" s="2">
        <f t="shared" si="151"/>
        <v>0</v>
      </c>
      <c r="AR129" s="2">
        <f t="shared" si="151"/>
        <v>2560225.0299999998</v>
      </c>
      <c r="AS129" s="2">
        <f t="shared" si="151"/>
        <v>0</v>
      </c>
      <c r="AT129" s="2">
        <f t="shared" si="151"/>
        <v>0</v>
      </c>
      <c r="AU129" s="2">
        <f t="shared" si="151"/>
        <v>0</v>
      </c>
      <c r="AV129" s="2">
        <f t="shared" si="151"/>
        <v>2560225.0299999998</v>
      </c>
      <c r="AW129" s="2">
        <f t="shared" si="151"/>
        <v>0</v>
      </c>
      <c r="AX129" s="2">
        <f t="shared" si="151"/>
        <v>0</v>
      </c>
      <c r="AY129" s="2">
        <f t="shared" si="151"/>
        <v>0</v>
      </c>
      <c r="AZ129" s="2">
        <f t="shared" si="151"/>
        <v>2560225.0299999998</v>
      </c>
      <c r="BA129" s="2">
        <f t="shared" si="151"/>
        <v>0</v>
      </c>
      <c r="BB129" s="2">
        <f t="shared" si="151"/>
        <v>0</v>
      </c>
      <c r="BC129" s="2">
        <f t="shared" si="151"/>
        <v>0</v>
      </c>
      <c r="BD129" s="2">
        <f t="shared" si="151"/>
        <v>0</v>
      </c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>
        <f>ROUND(SUMIF(AA126:AA127,"=59267179",FQ126:FQ127),2)</f>
        <v>0</v>
      </c>
      <c r="BY129" s="2">
        <f>ROUND(SUMIF(AA126:AA127,"=59267179",FR126:FR127),2)</f>
        <v>2560225.0299999998</v>
      </c>
      <c r="BZ129" s="2">
        <f>ROUND(SUMIF(AA126:AA127,"=59267179",GL126:GL127),2)</f>
        <v>0</v>
      </c>
      <c r="CA129" s="2">
        <f>ROUND(SUMIF(AA126:AA127,"=59267179",GM126:GM127),2)</f>
        <v>2560225.0299999998</v>
      </c>
      <c r="CB129" s="2">
        <f>ROUND(SUMIF(AA126:AA127,"=59267179",GN126:GN127),2)</f>
        <v>0</v>
      </c>
      <c r="CC129" s="2">
        <f>ROUND(SUMIF(AA126:AA127,"=59267179",GO126:GO127),2)</f>
        <v>0</v>
      </c>
      <c r="CD129" s="2">
        <f>ROUND(SUMIF(AA126:AA127,"=59267179",GP126:GP127),2)</f>
        <v>0</v>
      </c>
      <c r="CE129" s="2">
        <f>AC129-BX129</f>
        <v>2560225.0299999998</v>
      </c>
      <c r="CF129" s="2">
        <f>AC129-BY129</f>
        <v>0</v>
      </c>
      <c r="CG129" s="2">
        <f>BX129-BZ129</f>
        <v>0</v>
      </c>
      <c r="CH129" s="2">
        <f>AC129-BX129-BY129+BZ129</f>
        <v>0</v>
      </c>
      <c r="CI129" s="2">
        <f>BY129-BZ129</f>
        <v>2560225.0299999998</v>
      </c>
      <c r="CJ129" s="2">
        <f>ROUND(SUMIF(AA126:AA127,"=59267179",GX126:GX127),2)</f>
        <v>0</v>
      </c>
      <c r="CK129" s="2">
        <f>ROUND(SUMIF(AA126:AA127,"=59267179",GY126:GY127),2)</f>
        <v>0</v>
      </c>
      <c r="CL129" s="2">
        <f>ROUND(SUMIF(AA126:AA127,"=59267179",GZ126:GZ127),2)</f>
        <v>0</v>
      </c>
      <c r="CM129" s="2">
        <f>ROUND(SUMIF(AA126:AA127,"=59267179",HD126:HD127),2)</f>
        <v>0</v>
      </c>
      <c r="CN129" s="2"/>
      <c r="CO129" s="2"/>
      <c r="CP129" s="2"/>
      <c r="CQ129" s="2"/>
      <c r="CR129" s="2"/>
      <c r="CS129" s="2"/>
      <c r="CT129" s="2"/>
      <c r="CU129" s="2"/>
      <c r="CV129" s="2"/>
      <c r="CW129" s="2"/>
      <c r="CX129" s="2"/>
      <c r="CY129" s="2"/>
      <c r="CZ129" s="2"/>
      <c r="DA129" s="2"/>
      <c r="DB129" s="2"/>
      <c r="DC129" s="2"/>
      <c r="DD129" s="2"/>
      <c r="DE129" s="2"/>
      <c r="DF129" s="2"/>
      <c r="DG129" s="3"/>
      <c r="DH129" s="3"/>
      <c r="DI129" s="3"/>
      <c r="DJ129" s="3"/>
      <c r="DK129" s="3"/>
      <c r="DL129" s="3"/>
      <c r="DM129" s="3"/>
      <c r="DN129" s="3"/>
      <c r="DO129" s="3"/>
      <c r="DP129" s="3"/>
      <c r="DQ129" s="3"/>
      <c r="DR129" s="3"/>
      <c r="DS129" s="3"/>
      <c r="DT129" s="3"/>
      <c r="DU129" s="3"/>
      <c r="DV129" s="3"/>
      <c r="DW129" s="3"/>
      <c r="DX129" s="3"/>
      <c r="DY129" s="3"/>
      <c r="DZ129" s="3"/>
      <c r="EA129" s="3"/>
      <c r="EB129" s="3"/>
      <c r="EC129" s="3"/>
      <c r="ED129" s="3"/>
      <c r="EE129" s="3"/>
      <c r="EF129" s="3"/>
      <c r="EG129" s="3"/>
      <c r="EH129" s="3"/>
      <c r="EI129" s="3"/>
      <c r="EJ129" s="3"/>
      <c r="EK129" s="3"/>
      <c r="EL129" s="3"/>
      <c r="EM129" s="3"/>
      <c r="EN129" s="3"/>
      <c r="EO129" s="3"/>
      <c r="EP129" s="3"/>
      <c r="EQ129" s="3"/>
      <c r="ER129" s="3"/>
      <c r="ES129" s="3"/>
      <c r="ET129" s="3"/>
      <c r="EU129" s="3"/>
      <c r="EV129" s="3"/>
      <c r="EW129" s="3"/>
      <c r="EX129" s="3"/>
      <c r="EY129" s="3"/>
      <c r="EZ129" s="3"/>
      <c r="FA129" s="3"/>
      <c r="FB129" s="3"/>
      <c r="FC129" s="3"/>
      <c r="FD129" s="3"/>
      <c r="FE129" s="3"/>
      <c r="FF129" s="3"/>
      <c r="FG129" s="3"/>
      <c r="FH129" s="3"/>
      <c r="FI129" s="3"/>
      <c r="FJ129" s="3"/>
      <c r="FK129" s="3"/>
      <c r="FL129" s="3"/>
      <c r="FM129" s="3"/>
      <c r="FN129" s="3"/>
      <c r="FO129" s="3"/>
      <c r="FP129" s="3"/>
      <c r="FQ129" s="3"/>
      <c r="FR129" s="3"/>
      <c r="FS129" s="3"/>
      <c r="FT129" s="3"/>
      <c r="FU129" s="3"/>
      <c r="FV129" s="3"/>
      <c r="FW129" s="3"/>
      <c r="FX129" s="3"/>
      <c r="FY129" s="3"/>
      <c r="FZ129" s="3"/>
      <c r="GA129" s="3"/>
      <c r="GB129" s="3"/>
      <c r="GC129" s="3"/>
      <c r="GD129" s="3"/>
      <c r="GE129" s="3"/>
      <c r="GF129" s="3"/>
      <c r="GG129" s="3"/>
      <c r="GH129" s="3"/>
      <c r="GI129" s="3"/>
      <c r="GJ129" s="3"/>
      <c r="GK129" s="3"/>
      <c r="GL129" s="3"/>
      <c r="GM129" s="3"/>
      <c r="GN129" s="3"/>
      <c r="GO129" s="3"/>
      <c r="GP129" s="3"/>
      <c r="GQ129" s="3"/>
      <c r="GR129" s="3"/>
      <c r="GS129" s="3"/>
      <c r="GT129" s="3"/>
      <c r="GU129" s="3"/>
      <c r="GV129" s="3"/>
      <c r="GW129" s="3"/>
      <c r="GX129" s="3">
        <v>0</v>
      </c>
    </row>
    <row r="131" spans="1:206" x14ac:dyDescent="0.2">
      <c r="A131" s="4">
        <v>50</v>
      </c>
      <c r="B131" s="4">
        <v>0</v>
      </c>
      <c r="C131" s="4">
        <v>0</v>
      </c>
      <c r="D131" s="4">
        <v>1</v>
      </c>
      <c r="E131" s="4">
        <v>201</v>
      </c>
      <c r="F131" s="4">
        <f>ROUND(Source!O129,O131)</f>
        <v>2560225.0299999998</v>
      </c>
      <c r="G131" s="4" t="s">
        <v>69</v>
      </c>
      <c r="H131" s="4" t="s">
        <v>70</v>
      </c>
      <c r="I131" s="4"/>
      <c r="J131" s="4"/>
      <c r="K131" s="4">
        <v>201</v>
      </c>
      <c r="L131" s="4">
        <v>1</v>
      </c>
      <c r="M131" s="4">
        <v>3</v>
      </c>
      <c r="N131" s="4" t="s">
        <v>3</v>
      </c>
      <c r="O131" s="4">
        <v>2</v>
      </c>
      <c r="P131" s="4"/>
      <c r="Q131" s="4"/>
      <c r="R131" s="4"/>
      <c r="S131" s="4"/>
      <c r="T131" s="4"/>
      <c r="U131" s="4"/>
      <c r="V131" s="4"/>
      <c r="W131" s="4">
        <v>2560225.0299999998</v>
      </c>
      <c r="X131" s="4">
        <v>1</v>
      </c>
      <c r="Y131" s="4">
        <v>2560225.0299999998</v>
      </c>
      <c r="Z131" s="4"/>
      <c r="AA131" s="4"/>
      <c r="AB131" s="4"/>
    </row>
    <row r="132" spans="1:206" x14ac:dyDescent="0.2">
      <c r="A132" s="4">
        <v>50</v>
      </c>
      <c r="B132" s="4">
        <v>0</v>
      </c>
      <c r="C132" s="4">
        <v>0</v>
      </c>
      <c r="D132" s="4">
        <v>1</v>
      </c>
      <c r="E132" s="4">
        <v>202</v>
      </c>
      <c r="F132" s="4">
        <f>ROUND(Source!P129,O132)</f>
        <v>2560225.0299999998</v>
      </c>
      <c r="G132" s="4" t="s">
        <v>71</v>
      </c>
      <c r="H132" s="4" t="s">
        <v>72</v>
      </c>
      <c r="I132" s="4"/>
      <c r="J132" s="4"/>
      <c r="K132" s="4">
        <v>202</v>
      </c>
      <c r="L132" s="4">
        <v>2</v>
      </c>
      <c r="M132" s="4">
        <v>3</v>
      </c>
      <c r="N132" s="4" t="s">
        <v>3</v>
      </c>
      <c r="O132" s="4">
        <v>2</v>
      </c>
      <c r="P132" s="4"/>
      <c r="Q132" s="4"/>
      <c r="R132" s="4"/>
      <c r="S132" s="4"/>
      <c r="T132" s="4"/>
      <c r="U132" s="4"/>
      <c r="V132" s="4"/>
      <c r="W132" s="4">
        <v>2560225.0299999998</v>
      </c>
      <c r="X132" s="4">
        <v>1</v>
      </c>
      <c r="Y132" s="4">
        <v>2560225.0299999998</v>
      </c>
      <c r="Z132" s="4"/>
      <c r="AA132" s="4"/>
      <c r="AB132" s="4"/>
    </row>
    <row r="133" spans="1:206" x14ac:dyDescent="0.2">
      <c r="A133" s="4">
        <v>50</v>
      </c>
      <c r="B133" s="4">
        <v>0</v>
      </c>
      <c r="C133" s="4">
        <v>0</v>
      </c>
      <c r="D133" s="4">
        <v>1</v>
      </c>
      <c r="E133" s="4">
        <v>222</v>
      </c>
      <c r="F133" s="4">
        <f>ROUND(Source!AO129,O133)</f>
        <v>0</v>
      </c>
      <c r="G133" s="4" t="s">
        <v>73</v>
      </c>
      <c r="H133" s="4" t="s">
        <v>74</v>
      </c>
      <c r="I133" s="4"/>
      <c r="J133" s="4"/>
      <c r="K133" s="4">
        <v>222</v>
      </c>
      <c r="L133" s="4">
        <v>3</v>
      </c>
      <c r="M133" s="4">
        <v>3</v>
      </c>
      <c r="N133" s="4" t="s">
        <v>3</v>
      </c>
      <c r="O133" s="4">
        <v>2</v>
      </c>
      <c r="P133" s="4"/>
      <c r="Q133" s="4"/>
      <c r="R133" s="4"/>
      <c r="S133" s="4"/>
      <c r="T133" s="4"/>
      <c r="U133" s="4"/>
      <c r="V133" s="4"/>
      <c r="W133" s="4">
        <v>0</v>
      </c>
      <c r="X133" s="4">
        <v>1</v>
      </c>
      <c r="Y133" s="4">
        <v>0</v>
      </c>
      <c r="Z133" s="4"/>
      <c r="AA133" s="4"/>
      <c r="AB133" s="4"/>
    </row>
    <row r="134" spans="1:206" x14ac:dyDescent="0.2">
      <c r="A134" s="4">
        <v>50</v>
      </c>
      <c r="B134" s="4">
        <v>0</v>
      </c>
      <c r="C134" s="4">
        <v>0</v>
      </c>
      <c r="D134" s="4">
        <v>1</v>
      </c>
      <c r="E134" s="4">
        <v>225</v>
      </c>
      <c r="F134" s="4">
        <f>ROUND(Source!AV129,O134)</f>
        <v>2560225.0299999998</v>
      </c>
      <c r="G134" s="4" t="s">
        <v>75</v>
      </c>
      <c r="H134" s="4" t="s">
        <v>76</v>
      </c>
      <c r="I134" s="4"/>
      <c r="J134" s="4"/>
      <c r="K134" s="4">
        <v>225</v>
      </c>
      <c r="L134" s="4">
        <v>4</v>
      </c>
      <c r="M134" s="4">
        <v>3</v>
      </c>
      <c r="N134" s="4" t="s">
        <v>3</v>
      </c>
      <c r="O134" s="4">
        <v>2</v>
      </c>
      <c r="P134" s="4"/>
      <c r="Q134" s="4"/>
      <c r="R134" s="4"/>
      <c r="S134" s="4"/>
      <c r="T134" s="4"/>
      <c r="U134" s="4"/>
      <c r="V134" s="4"/>
      <c r="W134" s="4">
        <v>2560225.0299999998</v>
      </c>
      <c r="X134" s="4">
        <v>1</v>
      </c>
      <c r="Y134" s="4">
        <v>2560225.0299999998</v>
      </c>
      <c r="Z134" s="4"/>
      <c r="AA134" s="4"/>
      <c r="AB134" s="4"/>
    </row>
    <row r="135" spans="1:206" x14ac:dyDescent="0.2">
      <c r="A135" s="4">
        <v>50</v>
      </c>
      <c r="B135" s="4">
        <v>0</v>
      </c>
      <c r="C135" s="4">
        <v>0</v>
      </c>
      <c r="D135" s="4">
        <v>1</v>
      </c>
      <c r="E135" s="4">
        <v>226</v>
      </c>
      <c r="F135" s="4">
        <f>ROUND(Source!AW129,O135)</f>
        <v>0</v>
      </c>
      <c r="G135" s="4" t="s">
        <v>77</v>
      </c>
      <c r="H135" s="4" t="s">
        <v>78</v>
      </c>
      <c r="I135" s="4"/>
      <c r="J135" s="4"/>
      <c r="K135" s="4">
        <v>226</v>
      </c>
      <c r="L135" s="4">
        <v>5</v>
      </c>
      <c r="M135" s="4">
        <v>3</v>
      </c>
      <c r="N135" s="4" t="s">
        <v>3</v>
      </c>
      <c r="O135" s="4">
        <v>2</v>
      </c>
      <c r="P135" s="4"/>
      <c r="Q135" s="4"/>
      <c r="R135" s="4"/>
      <c r="S135" s="4"/>
      <c r="T135" s="4"/>
      <c r="U135" s="4"/>
      <c r="V135" s="4"/>
      <c r="W135" s="4">
        <v>0</v>
      </c>
      <c r="X135" s="4">
        <v>1</v>
      </c>
      <c r="Y135" s="4">
        <v>0</v>
      </c>
      <c r="Z135" s="4"/>
      <c r="AA135" s="4"/>
      <c r="AB135" s="4"/>
    </row>
    <row r="136" spans="1:206" x14ac:dyDescent="0.2">
      <c r="A136" s="4">
        <v>50</v>
      </c>
      <c r="B136" s="4">
        <v>0</v>
      </c>
      <c r="C136" s="4">
        <v>0</v>
      </c>
      <c r="D136" s="4">
        <v>1</v>
      </c>
      <c r="E136" s="4">
        <v>227</v>
      </c>
      <c r="F136" s="4">
        <f>ROUND(Source!AX129,O136)</f>
        <v>0</v>
      </c>
      <c r="G136" s="4" t="s">
        <v>79</v>
      </c>
      <c r="H136" s="4" t="s">
        <v>80</v>
      </c>
      <c r="I136" s="4"/>
      <c r="J136" s="4"/>
      <c r="K136" s="4">
        <v>227</v>
      </c>
      <c r="L136" s="4">
        <v>6</v>
      </c>
      <c r="M136" s="4">
        <v>3</v>
      </c>
      <c r="N136" s="4" t="s">
        <v>3</v>
      </c>
      <c r="O136" s="4">
        <v>2</v>
      </c>
      <c r="P136" s="4"/>
      <c r="Q136" s="4"/>
      <c r="R136" s="4"/>
      <c r="S136" s="4"/>
      <c r="T136" s="4"/>
      <c r="U136" s="4"/>
      <c r="V136" s="4"/>
      <c r="W136" s="4">
        <v>0</v>
      </c>
      <c r="X136" s="4">
        <v>1</v>
      </c>
      <c r="Y136" s="4">
        <v>0</v>
      </c>
      <c r="Z136" s="4"/>
      <c r="AA136" s="4"/>
      <c r="AB136" s="4"/>
    </row>
    <row r="137" spans="1:206" x14ac:dyDescent="0.2">
      <c r="A137" s="4">
        <v>50</v>
      </c>
      <c r="B137" s="4">
        <v>0</v>
      </c>
      <c r="C137" s="4">
        <v>0</v>
      </c>
      <c r="D137" s="4">
        <v>1</v>
      </c>
      <c r="E137" s="4">
        <v>228</v>
      </c>
      <c r="F137" s="4">
        <f>ROUND(Source!AY129,O137)</f>
        <v>0</v>
      </c>
      <c r="G137" s="4" t="s">
        <v>81</v>
      </c>
      <c r="H137" s="4" t="s">
        <v>82</v>
      </c>
      <c r="I137" s="4"/>
      <c r="J137" s="4"/>
      <c r="K137" s="4">
        <v>228</v>
      </c>
      <c r="L137" s="4">
        <v>7</v>
      </c>
      <c r="M137" s="4">
        <v>3</v>
      </c>
      <c r="N137" s="4" t="s">
        <v>3</v>
      </c>
      <c r="O137" s="4">
        <v>2</v>
      </c>
      <c r="P137" s="4"/>
      <c r="Q137" s="4"/>
      <c r="R137" s="4"/>
      <c r="S137" s="4"/>
      <c r="T137" s="4"/>
      <c r="U137" s="4"/>
      <c r="V137" s="4"/>
      <c r="W137" s="4">
        <v>0</v>
      </c>
      <c r="X137" s="4">
        <v>1</v>
      </c>
      <c r="Y137" s="4">
        <v>0</v>
      </c>
      <c r="Z137" s="4"/>
      <c r="AA137" s="4"/>
      <c r="AB137" s="4"/>
    </row>
    <row r="138" spans="1:206" x14ac:dyDescent="0.2">
      <c r="A138" s="4">
        <v>50</v>
      </c>
      <c r="B138" s="4">
        <v>0</v>
      </c>
      <c r="C138" s="4">
        <v>0</v>
      </c>
      <c r="D138" s="4">
        <v>1</v>
      </c>
      <c r="E138" s="4">
        <v>216</v>
      </c>
      <c r="F138" s="4">
        <f>ROUND(Source!AP129,O138)</f>
        <v>2560225.0299999998</v>
      </c>
      <c r="G138" s="4" t="s">
        <v>83</v>
      </c>
      <c r="H138" s="4" t="s">
        <v>84</v>
      </c>
      <c r="I138" s="4"/>
      <c r="J138" s="4"/>
      <c r="K138" s="4">
        <v>216</v>
      </c>
      <c r="L138" s="4">
        <v>8</v>
      </c>
      <c r="M138" s="4">
        <v>3</v>
      </c>
      <c r="N138" s="4" t="s">
        <v>3</v>
      </c>
      <c r="O138" s="4">
        <v>2</v>
      </c>
      <c r="P138" s="4"/>
      <c r="Q138" s="4"/>
      <c r="R138" s="4"/>
      <c r="S138" s="4"/>
      <c r="T138" s="4"/>
      <c r="U138" s="4"/>
      <c r="V138" s="4"/>
      <c r="W138" s="4">
        <v>2560225.0299999998</v>
      </c>
      <c r="X138" s="4">
        <v>1</v>
      </c>
      <c r="Y138" s="4">
        <v>2560225.0299999998</v>
      </c>
      <c r="Z138" s="4"/>
      <c r="AA138" s="4"/>
      <c r="AB138" s="4"/>
    </row>
    <row r="139" spans="1:206" x14ac:dyDescent="0.2">
      <c r="A139" s="4">
        <v>50</v>
      </c>
      <c r="B139" s="4">
        <v>0</v>
      </c>
      <c r="C139" s="4">
        <v>0</v>
      </c>
      <c r="D139" s="4">
        <v>1</v>
      </c>
      <c r="E139" s="4">
        <v>223</v>
      </c>
      <c r="F139" s="4">
        <f>ROUND(Source!AQ129,O139)</f>
        <v>0</v>
      </c>
      <c r="G139" s="4" t="s">
        <v>85</v>
      </c>
      <c r="H139" s="4" t="s">
        <v>86</v>
      </c>
      <c r="I139" s="4"/>
      <c r="J139" s="4"/>
      <c r="K139" s="4">
        <v>223</v>
      </c>
      <c r="L139" s="4">
        <v>9</v>
      </c>
      <c r="M139" s="4">
        <v>3</v>
      </c>
      <c r="N139" s="4" t="s">
        <v>3</v>
      </c>
      <c r="O139" s="4">
        <v>2</v>
      </c>
      <c r="P139" s="4"/>
      <c r="Q139" s="4"/>
      <c r="R139" s="4"/>
      <c r="S139" s="4"/>
      <c r="T139" s="4"/>
      <c r="U139" s="4"/>
      <c r="V139" s="4"/>
      <c r="W139" s="4">
        <v>0</v>
      </c>
      <c r="X139" s="4">
        <v>1</v>
      </c>
      <c r="Y139" s="4">
        <v>0</v>
      </c>
      <c r="Z139" s="4"/>
      <c r="AA139" s="4"/>
      <c r="AB139" s="4"/>
    </row>
    <row r="140" spans="1:206" x14ac:dyDescent="0.2">
      <c r="A140" s="4">
        <v>50</v>
      </c>
      <c r="B140" s="4">
        <v>0</v>
      </c>
      <c r="C140" s="4">
        <v>0</v>
      </c>
      <c r="D140" s="4">
        <v>1</v>
      </c>
      <c r="E140" s="4">
        <v>229</v>
      </c>
      <c r="F140" s="4">
        <f>ROUND(Source!AZ129,O140)</f>
        <v>2560225.0299999998</v>
      </c>
      <c r="G140" s="4" t="s">
        <v>87</v>
      </c>
      <c r="H140" s="4" t="s">
        <v>88</v>
      </c>
      <c r="I140" s="4"/>
      <c r="J140" s="4"/>
      <c r="K140" s="4">
        <v>229</v>
      </c>
      <c r="L140" s="4">
        <v>10</v>
      </c>
      <c r="M140" s="4">
        <v>3</v>
      </c>
      <c r="N140" s="4" t="s">
        <v>3</v>
      </c>
      <c r="O140" s="4">
        <v>2</v>
      </c>
      <c r="P140" s="4"/>
      <c r="Q140" s="4"/>
      <c r="R140" s="4"/>
      <c r="S140" s="4"/>
      <c r="T140" s="4"/>
      <c r="U140" s="4"/>
      <c r="V140" s="4"/>
      <c r="W140" s="4">
        <v>2560225.0299999998</v>
      </c>
      <c r="X140" s="4">
        <v>1</v>
      </c>
      <c r="Y140" s="4">
        <v>2560225.0299999998</v>
      </c>
      <c r="Z140" s="4"/>
      <c r="AA140" s="4"/>
      <c r="AB140" s="4"/>
    </row>
    <row r="141" spans="1:206" x14ac:dyDescent="0.2">
      <c r="A141" s="4">
        <v>50</v>
      </c>
      <c r="B141" s="4">
        <v>0</v>
      </c>
      <c r="C141" s="4">
        <v>0</v>
      </c>
      <c r="D141" s="4">
        <v>1</v>
      </c>
      <c r="E141" s="4">
        <v>203</v>
      </c>
      <c r="F141" s="4">
        <f>ROUND(Source!Q129,O141)</f>
        <v>0</v>
      </c>
      <c r="G141" s="4" t="s">
        <v>89</v>
      </c>
      <c r="H141" s="4" t="s">
        <v>90</v>
      </c>
      <c r="I141" s="4"/>
      <c r="J141" s="4"/>
      <c r="K141" s="4">
        <v>203</v>
      </c>
      <c r="L141" s="4">
        <v>11</v>
      </c>
      <c r="M141" s="4">
        <v>3</v>
      </c>
      <c r="N141" s="4" t="s">
        <v>3</v>
      </c>
      <c r="O141" s="4">
        <v>2</v>
      </c>
      <c r="P141" s="4"/>
      <c r="Q141" s="4"/>
      <c r="R141" s="4"/>
      <c r="S141" s="4"/>
      <c r="T141" s="4"/>
      <c r="U141" s="4"/>
      <c r="V141" s="4"/>
      <c r="W141" s="4">
        <v>0</v>
      </c>
      <c r="X141" s="4">
        <v>1</v>
      </c>
      <c r="Y141" s="4">
        <v>0</v>
      </c>
      <c r="Z141" s="4"/>
      <c r="AA141" s="4"/>
      <c r="AB141" s="4"/>
    </row>
    <row r="142" spans="1:206" x14ac:dyDescent="0.2">
      <c r="A142" s="4">
        <v>50</v>
      </c>
      <c r="B142" s="4">
        <v>0</v>
      </c>
      <c r="C142" s="4">
        <v>0</v>
      </c>
      <c r="D142" s="4">
        <v>1</v>
      </c>
      <c r="E142" s="4">
        <v>231</v>
      </c>
      <c r="F142" s="4">
        <f>ROUND(Source!BB129,O142)</f>
        <v>0</v>
      </c>
      <c r="G142" s="4" t="s">
        <v>91</v>
      </c>
      <c r="H142" s="4" t="s">
        <v>92</v>
      </c>
      <c r="I142" s="4"/>
      <c r="J142" s="4"/>
      <c r="K142" s="4">
        <v>231</v>
      </c>
      <c r="L142" s="4">
        <v>12</v>
      </c>
      <c r="M142" s="4">
        <v>3</v>
      </c>
      <c r="N142" s="4" t="s">
        <v>3</v>
      </c>
      <c r="O142" s="4">
        <v>2</v>
      </c>
      <c r="P142" s="4"/>
      <c r="Q142" s="4"/>
      <c r="R142" s="4"/>
      <c r="S142" s="4"/>
      <c r="T142" s="4"/>
      <c r="U142" s="4"/>
      <c r="V142" s="4"/>
      <c r="W142" s="4">
        <v>0</v>
      </c>
      <c r="X142" s="4">
        <v>1</v>
      </c>
      <c r="Y142" s="4">
        <v>0</v>
      </c>
      <c r="Z142" s="4"/>
      <c r="AA142" s="4"/>
      <c r="AB142" s="4"/>
    </row>
    <row r="143" spans="1:206" x14ac:dyDescent="0.2">
      <c r="A143" s="4">
        <v>50</v>
      </c>
      <c r="B143" s="4">
        <v>0</v>
      </c>
      <c r="C143" s="4">
        <v>0</v>
      </c>
      <c r="D143" s="4">
        <v>1</v>
      </c>
      <c r="E143" s="4">
        <v>204</v>
      </c>
      <c r="F143" s="4">
        <f>ROUND(Source!R129,O143)</f>
        <v>0</v>
      </c>
      <c r="G143" s="4" t="s">
        <v>93</v>
      </c>
      <c r="H143" s="4" t="s">
        <v>94</v>
      </c>
      <c r="I143" s="4"/>
      <c r="J143" s="4"/>
      <c r="K143" s="4">
        <v>204</v>
      </c>
      <c r="L143" s="4">
        <v>13</v>
      </c>
      <c r="M143" s="4">
        <v>3</v>
      </c>
      <c r="N143" s="4" t="s">
        <v>3</v>
      </c>
      <c r="O143" s="4">
        <v>2</v>
      </c>
      <c r="P143" s="4"/>
      <c r="Q143" s="4"/>
      <c r="R143" s="4"/>
      <c r="S143" s="4"/>
      <c r="T143" s="4"/>
      <c r="U143" s="4"/>
      <c r="V143" s="4"/>
      <c r="W143" s="4">
        <v>0</v>
      </c>
      <c r="X143" s="4">
        <v>1</v>
      </c>
      <c r="Y143" s="4">
        <v>0</v>
      </c>
      <c r="Z143" s="4"/>
      <c r="AA143" s="4"/>
      <c r="AB143" s="4"/>
    </row>
    <row r="144" spans="1:206" x14ac:dyDescent="0.2">
      <c r="A144" s="4">
        <v>50</v>
      </c>
      <c r="B144" s="4">
        <v>0</v>
      </c>
      <c r="C144" s="4">
        <v>0</v>
      </c>
      <c r="D144" s="4">
        <v>1</v>
      </c>
      <c r="E144" s="4">
        <v>205</v>
      </c>
      <c r="F144" s="4">
        <f>ROUND(Source!S129,O144)</f>
        <v>0</v>
      </c>
      <c r="G144" s="4" t="s">
        <v>95</v>
      </c>
      <c r="H144" s="4" t="s">
        <v>96</v>
      </c>
      <c r="I144" s="4"/>
      <c r="J144" s="4"/>
      <c r="K144" s="4">
        <v>205</v>
      </c>
      <c r="L144" s="4">
        <v>14</v>
      </c>
      <c r="M144" s="4">
        <v>3</v>
      </c>
      <c r="N144" s="4" t="s">
        <v>3</v>
      </c>
      <c r="O144" s="4">
        <v>2</v>
      </c>
      <c r="P144" s="4"/>
      <c r="Q144" s="4"/>
      <c r="R144" s="4"/>
      <c r="S144" s="4"/>
      <c r="T144" s="4"/>
      <c r="U144" s="4"/>
      <c r="V144" s="4"/>
      <c r="W144" s="4">
        <v>0</v>
      </c>
      <c r="X144" s="4">
        <v>1</v>
      </c>
      <c r="Y144" s="4">
        <v>0</v>
      </c>
      <c r="Z144" s="4"/>
      <c r="AA144" s="4"/>
      <c r="AB144" s="4"/>
    </row>
    <row r="145" spans="1:88" x14ac:dyDescent="0.2">
      <c r="A145" s="4">
        <v>50</v>
      </c>
      <c r="B145" s="4">
        <v>0</v>
      </c>
      <c r="C145" s="4">
        <v>0</v>
      </c>
      <c r="D145" s="4">
        <v>1</v>
      </c>
      <c r="E145" s="4">
        <v>232</v>
      </c>
      <c r="F145" s="4">
        <f>ROUND(Source!BC129,O145)</f>
        <v>0</v>
      </c>
      <c r="G145" s="4" t="s">
        <v>97</v>
      </c>
      <c r="H145" s="4" t="s">
        <v>98</v>
      </c>
      <c r="I145" s="4"/>
      <c r="J145" s="4"/>
      <c r="K145" s="4">
        <v>232</v>
      </c>
      <c r="L145" s="4">
        <v>15</v>
      </c>
      <c r="M145" s="4">
        <v>3</v>
      </c>
      <c r="N145" s="4" t="s">
        <v>3</v>
      </c>
      <c r="O145" s="4">
        <v>2</v>
      </c>
      <c r="P145" s="4"/>
      <c r="Q145" s="4"/>
      <c r="R145" s="4"/>
      <c r="S145" s="4"/>
      <c r="T145" s="4"/>
      <c r="U145" s="4"/>
      <c r="V145" s="4"/>
      <c r="W145" s="4">
        <v>0</v>
      </c>
      <c r="X145" s="4">
        <v>1</v>
      </c>
      <c r="Y145" s="4">
        <v>0</v>
      </c>
      <c r="Z145" s="4"/>
      <c r="AA145" s="4"/>
      <c r="AB145" s="4"/>
    </row>
    <row r="146" spans="1:88" x14ac:dyDescent="0.2">
      <c r="A146" s="4">
        <v>50</v>
      </c>
      <c r="B146" s="4">
        <v>0</v>
      </c>
      <c r="C146" s="4">
        <v>0</v>
      </c>
      <c r="D146" s="4">
        <v>1</v>
      </c>
      <c r="E146" s="4">
        <v>214</v>
      </c>
      <c r="F146" s="4">
        <f>ROUND(Source!AS129,O146)</f>
        <v>0</v>
      </c>
      <c r="G146" s="4" t="s">
        <v>99</v>
      </c>
      <c r="H146" s="4" t="s">
        <v>100</v>
      </c>
      <c r="I146" s="4"/>
      <c r="J146" s="4"/>
      <c r="K146" s="4">
        <v>214</v>
      </c>
      <c r="L146" s="4">
        <v>16</v>
      </c>
      <c r="M146" s="4">
        <v>3</v>
      </c>
      <c r="N146" s="4" t="s">
        <v>3</v>
      </c>
      <c r="O146" s="4">
        <v>2</v>
      </c>
      <c r="P146" s="4"/>
      <c r="Q146" s="4"/>
      <c r="R146" s="4"/>
      <c r="S146" s="4"/>
      <c r="T146" s="4"/>
      <c r="U146" s="4"/>
      <c r="V146" s="4"/>
      <c r="W146" s="4">
        <v>0</v>
      </c>
      <c r="X146" s="4">
        <v>1</v>
      </c>
      <c r="Y146" s="4">
        <v>0</v>
      </c>
      <c r="Z146" s="4"/>
      <c r="AA146" s="4"/>
      <c r="AB146" s="4"/>
    </row>
    <row r="147" spans="1:88" x14ac:dyDescent="0.2">
      <c r="A147" s="4">
        <v>50</v>
      </c>
      <c r="B147" s="4">
        <v>0</v>
      </c>
      <c r="C147" s="4">
        <v>0</v>
      </c>
      <c r="D147" s="4">
        <v>1</v>
      </c>
      <c r="E147" s="4">
        <v>215</v>
      </c>
      <c r="F147" s="4">
        <f>ROUND(Source!AT129,O147)</f>
        <v>0</v>
      </c>
      <c r="G147" s="4" t="s">
        <v>101</v>
      </c>
      <c r="H147" s="4" t="s">
        <v>102</v>
      </c>
      <c r="I147" s="4"/>
      <c r="J147" s="4"/>
      <c r="K147" s="4">
        <v>215</v>
      </c>
      <c r="L147" s="4">
        <v>17</v>
      </c>
      <c r="M147" s="4">
        <v>3</v>
      </c>
      <c r="N147" s="4" t="s">
        <v>3</v>
      </c>
      <c r="O147" s="4">
        <v>2</v>
      </c>
      <c r="P147" s="4"/>
      <c r="Q147" s="4"/>
      <c r="R147" s="4"/>
      <c r="S147" s="4"/>
      <c r="T147" s="4"/>
      <c r="U147" s="4"/>
      <c r="V147" s="4"/>
      <c r="W147" s="4">
        <v>0</v>
      </c>
      <c r="X147" s="4">
        <v>1</v>
      </c>
      <c r="Y147" s="4">
        <v>0</v>
      </c>
      <c r="Z147" s="4"/>
      <c r="AA147" s="4"/>
      <c r="AB147" s="4"/>
    </row>
    <row r="148" spans="1:88" x14ac:dyDescent="0.2">
      <c r="A148" s="4">
        <v>50</v>
      </c>
      <c r="B148" s="4">
        <v>0</v>
      </c>
      <c r="C148" s="4">
        <v>0</v>
      </c>
      <c r="D148" s="4">
        <v>1</v>
      </c>
      <c r="E148" s="4">
        <v>217</v>
      </c>
      <c r="F148" s="4">
        <f>ROUND(Source!AU129,O148)</f>
        <v>0</v>
      </c>
      <c r="G148" s="4" t="s">
        <v>103</v>
      </c>
      <c r="H148" s="4" t="s">
        <v>104</v>
      </c>
      <c r="I148" s="4"/>
      <c r="J148" s="4"/>
      <c r="K148" s="4">
        <v>217</v>
      </c>
      <c r="L148" s="4">
        <v>18</v>
      </c>
      <c r="M148" s="4">
        <v>3</v>
      </c>
      <c r="N148" s="4" t="s">
        <v>3</v>
      </c>
      <c r="O148" s="4">
        <v>2</v>
      </c>
      <c r="P148" s="4"/>
      <c r="Q148" s="4"/>
      <c r="R148" s="4"/>
      <c r="S148" s="4"/>
      <c r="T148" s="4"/>
      <c r="U148" s="4"/>
      <c r="V148" s="4"/>
      <c r="W148" s="4">
        <v>0</v>
      </c>
      <c r="X148" s="4">
        <v>1</v>
      </c>
      <c r="Y148" s="4">
        <v>0</v>
      </c>
      <c r="Z148" s="4"/>
      <c r="AA148" s="4"/>
      <c r="AB148" s="4"/>
    </row>
    <row r="149" spans="1:88" x14ac:dyDescent="0.2">
      <c r="A149" s="4">
        <v>50</v>
      </c>
      <c r="B149" s="4">
        <v>0</v>
      </c>
      <c r="C149" s="4">
        <v>0</v>
      </c>
      <c r="D149" s="4">
        <v>1</v>
      </c>
      <c r="E149" s="4">
        <v>230</v>
      </c>
      <c r="F149" s="4">
        <f>ROUND(Source!BA129,O149)</f>
        <v>0</v>
      </c>
      <c r="G149" s="4" t="s">
        <v>105</v>
      </c>
      <c r="H149" s="4" t="s">
        <v>106</v>
      </c>
      <c r="I149" s="4"/>
      <c r="J149" s="4"/>
      <c r="K149" s="4">
        <v>230</v>
      </c>
      <c r="L149" s="4">
        <v>19</v>
      </c>
      <c r="M149" s="4">
        <v>3</v>
      </c>
      <c r="N149" s="4" t="s">
        <v>3</v>
      </c>
      <c r="O149" s="4">
        <v>2</v>
      </c>
      <c r="P149" s="4"/>
      <c r="Q149" s="4"/>
      <c r="R149" s="4"/>
      <c r="S149" s="4"/>
      <c r="T149" s="4"/>
      <c r="U149" s="4"/>
      <c r="V149" s="4"/>
      <c r="W149" s="4">
        <v>0</v>
      </c>
      <c r="X149" s="4">
        <v>1</v>
      </c>
      <c r="Y149" s="4">
        <v>0</v>
      </c>
      <c r="Z149" s="4"/>
      <c r="AA149" s="4"/>
      <c r="AB149" s="4"/>
    </row>
    <row r="150" spans="1:88" x14ac:dyDescent="0.2">
      <c r="A150" s="4">
        <v>50</v>
      </c>
      <c r="B150" s="4">
        <v>0</v>
      </c>
      <c r="C150" s="4">
        <v>0</v>
      </c>
      <c r="D150" s="4">
        <v>1</v>
      </c>
      <c r="E150" s="4">
        <v>206</v>
      </c>
      <c r="F150" s="4">
        <f>ROUND(Source!T129,O150)</f>
        <v>0</v>
      </c>
      <c r="G150" s="4" t="s">
        <v>107</v>
      </c>
      <c r="H150" s="4" t="s">
        <v>108</v>
      </c>
      <c r="I150" s="4"/>
      <c r="J150" s="4"/>
      <c r="K150" s="4">
        <v>206</v>
      </c>
      <c r="L150" s="4">
        <v>20</v>
      </c>
      <c r="M150" s="4">
        <v>3</v>
      </c>
      <c r="N150" s="4" t="s">
        <v>3</v>
      </c>
      <c r="O150" s="4">
        <v>2</v>
      </c>
      <c r="P150" s="4"/>
      <c r="Q150" s="4"/>
      <c r="R150" s="4"/>
      <c r="S150" s="4"/>
      <c r="T150" s="4"/>
      <c r="U150" s="4"/>
      <c r="V150" s="4"/>
      <c r="W150" s="4">
        <v>0</v>
      </c>
      <c r="X150" s="4">
        <v>1</v>
      </c>
      <c r="Y150" s="4">
        <v>0</v>
      </c>
      <c r="Z150" s="4"/>
      <c r="AA150" s="4"/>
      <c r="AB150" s="4"/>
    </row>
    <row r="151" spans="1:88" x14ac:dyDescent="0.2">
      <c r="A151" s="4">
        <v>50</v>
      </c>
      <c r="B151" s="4">
        <v>0</v>
      </c>
      <c r="C151" s="4">
        <v>0</v>
      </c>
      <c r="D151" s="4">
        <v>1</v>
      </c>
      <c r="E151" s="4">
        <v>207</v>
      </c>
      <c r="F151" s="4">
        <f>Source!U129</f>
        <v>0</v>
      </c>
      <c r="G151" s="4" t="s">
        <v>109</v>
      </c>
      <c r="H151" s="4" t="s">
        <v>110</v>
      </c>
      <c r="I151" s="4"/>
      <c r="J151" s="4"/>
      <c r="K151" s="4">
        <v>207</v>
      </c>
      <c r="L151" s="4">
        <v>21</v>
      </c>
      <c r="M151" s="4">
        <v>3</v>
      </c>
      <c r="N151" s="4" t="s">
        <v>3</v>
      </c>
      <c r="O151" s="4">
        <v>-1</v>
      </c>
      <c r="P151" s="4"/>
      <c r="Q151" s="4"/>
      <c r="R151" s="4"/>
      <c r="S151" s="4"/>
      <c r="T151" s="4"/>
      <c r="U151" s="4"/>
      <c r="V151" s="4"/>
      <c r="W151" s="4">
        <v>0</v>
      </c>
      <c r="X151" s="4">
        <v>1</v>
      </c>
      <c r="Y151" s="4">
        <v>0</v>
      </c>
      <c r="Z151" s="4"/>
      <c r="AA151" s="4"/>
      <c r="AB151" s="4"/>
    </row>
    <row r="152" spans="1:88" x14ac:dyDescent="0.2">
      <c r="A152" s="4">
        <v>50</v>
      </c>
      <c r="B152" s="4">
        <v>0</v>
      </c>
      <c r="C152" s="4">
        <v>0</v>
      </c>
      <c r="D152" s="4">
        <v>1</v>
      </c>
      <c r="E152" s="4">
        <v>208</v>
      </c>
      <c r="F152" s="4">
        <f>Source!V129</f>
        <v>0</v>
      </c>
      <c r="G152" s="4" t="s">
        <v>111</v>
      </c>
      <c r="H152" s="4" t="s">
        <v>112</v>
      </c>
      <c r="I152" s="4"/>
      <c r="J152" s="4"/>
      <c r="K152" s="4">
        <v>208</v>
      </c>
      <c r="L152" s="4">
        <v>22</v>
      </c>
      <c r="M152" s="4">
        <v>3</v>
      </c>
      <c r="N152" s="4" t="s">
        <v>3</v>
      </c>
      <c r="O152" s="4">
        <v>-1</v>
      </c>
      <c r="P152" s="4"/>
      <c r="Q152" s="4"/>
      <c r="R152" s="4"/>
      <c r="S152" s="4"/>
      <c r="T152" s="4"/>
      <c r="U152" s="4"/>
      <c r="V152" s="4"/>
      <c r="W152" s="4">
        <v>0</v>
      </c>
      <c r="X152" s="4">
        <v>1</v>
      </c>
      <c r="Y152" s="4">
        <v>0</v>
      </c>
      <c r="Z152" s="4"/>
      <c r="AA152" s="4"/>
      <c r="AB152" s="4"/>
    </row>
    <row r="153" spans="1:88" x14ac:dyDescent="0.2">
      <c r="A153" s="4">
        <v>50</v>
      </c>
      <c r="B153" s="4">
        <v>0</v>
      </c>
      <c r="C153" s="4">
        <v>0</v>
      </c>
      <c r="D153" s="4">
        <v>1</v>
      </c>
      <c r="E153" s="4">
        <v>209</v>
      </c>
      <c r="F153" s="4">
        <f>ROUND(Source!W129,O153)</f>
        <v>0</v>
      </c>
      <c r="G153" s="4" t="s">
        <v>113</v>
      </c>
      <c r="H153" s="4" t="s">
        <v>114</v>
      </c>
      <c r="I153" s="4"/>
      <c r="J153" s="4"/>
      <c r="K153" s="4">
        <v>209</v>
      </c>
      <c r="L153" s="4">
        <v>23</v>
      </c>
      <c r="M153" s="4">
        <v>3</v>
      </c>
      <c r="N153" s="4" t="s">
        <v>3</v>
      </c>
      <c r="O153" s="4">
        <v>2</v>
      </c>
      <c r="P153" s="4"/>
      <c r="Q153" s="4"/>
      <c r="R153" s="4"/>
      <c r="S153" s="4"/>
      <c r="T153" s="4"/>
      <c r="U153" s="4"/>
      <c r="V153" s="4"/>
      <c r="W153" s="4">
        <v>0</v>
      </c>
      <c r="X153" s="4">
        <v>1</v>
      </c>
      <c r="Y153" s="4">
        <v>0</v>
      </c>
      <c r="Z153" s="4"/>
      <c r="AA153" s="4"/>
      <c r="AB153" s="4"/>
    </row>
    <row r="154" spans="1:88" x14ac:dyDescent="0.2">
      <c r="A154" s="4">
        <v>50</v>
      </c>
      <c r="B154" s="4">
        <v>0</v>
      </c>
      <c r="C154" s="4">
        <v>0</v>
      </c>
      <c r="D154" s="4">
        <v>1</v>
      </c>
      <c r="E154" s="4">
        <v>233</v>
      </c>
      <c r="F154" s="4">
        <f>ROUND(Source!BD129,O154)</f>
        <v>0</v>
      </c>
      <c r="G154" s="4" t="s">
        <v>115</v>
      </c>
      <c r="H154" s="4" t="s">
        <v>116</v>
      </c>
      <c r="I154" s="4"/>
      <c r="J154" s="4"/>
      <c r="K154" s="4">
        <v>233</v>
      </c>
      <c r="L154" s="4">
        <v>24</v>
      </c>
      <c r="M154" s="4">
        <v>3</v>
      </c>
      <c r="N154" s="4" t="s">
        <v>3</v>
      </c>
      <c r="O154" s="4">
        <v>2</v>
      </c>
      <c r="P154" s="4"/>
      <c r="Q154" s="4"/>
      <c r="R154" s="4"/>
      <c r="S154" s="4"/>
      <c r="T154" s="4"/>
      <c r="U154" s="4"/>
      <c r="V154" s="4"/>
      <c r="W154" s="4">
        <v>0</v>
      </c>
      <c r="X154" s="4">
        <v>1</v>
      </c>
      <c r="Y154" s="4">
        <v>0</v>
      </c>
      <c r="Z154" s="4"/>
      <c r="AA154" s="4"/>
      <c r="AB154" s="4"/>
    </row>
    <row r="155" spans="1:88" x14ac:dyDescent="0.2">
      <c r="A155" s="4">
        <v>50</v>
      </c>
      <c r="B155" s="4">
        <v>0</v>
      </c>
      <c r="C155" s="4">
        <v>0</v>
      </c>
      <c r="D155" s="4">
        <v>1</v>
      </c>
      <c r="E155" s="4">
        <v>210</v>
      </c>
      <c r="F155" s="4">
        <f>ROUND(Source!X129,O155)</f>
        <v>0</v>
      </c>
      <c r="G155" s="4" t="s">
        <v>117</v>
      </c>
      <c r="H155" s="4" t="s">
        <v>118</v>
      </c>
      <c r="I155" s="4"/>
      <c r="J155" s="4"/>
      <c r="K155" s="4">
        <v>210</v>
      </c>
      <c r="L155" s="4">
        <v>25</v>
      </c>
      <c r="M155" s="4">
        <v>3</v>
      </c>
      <c r="N155" s="4" t="s">
        <v>3</v>
      </c>
      <c r="O155" s="4">
        <v>2</v>
      </c>
      <c r="P155" s="4"/>
      <c r="Q155" s="4"/>
      <c r="R155" s="4"/>
      <c r="S155" s="4"/>
      <c r="T155" s="4"/>
      <c r="U155" s="4"/>
      <c r="V155" s="4"/>
      <c r="W155" s="4">
        <v>0</v>
      </c>
      <c r="X155" s="4">
        <v>1</v>
      </c>
      <c r="Y155" s="4">
        <v>0</v>
      </c>
      <c r="Z155" s="4"/>
      <c r="AA155" s="4"/>
      <c r="AB155" s="4"/>
    </row>
    <row r="156" spans="1:88" x14ac:dyDescent="0.2">
      <c r="A156" s="4">
        <v>50</v>
      </c>
      <c r="B156" s="4">
        <v>0</v>
      </c>
      <c r="C156" s="4">
        <v>0</v>
      </c>
      <c r="D156" s="4">
        <v>1</v>
      </c>
      <c r="E156" s="4">
        <v>211</v>
      </c>
      <c r="F156" s="4">
        <f>ROUND(Source!Y129,O156)</f>
        <v>0</v>
      </c>
      <c r="G156" s="4" t="s">
        <v>119</v>
      </c>
      <c r="H156" s="4" t="s">
        <v>120</v>
      </c>
      <c r="I156" s="4"/>
      <c r="J156" s="4"/>
      <c r="K156" s="4">
        <v>211</v>
      </c>
      <c r="L156" s="4">
        <v>26</v>
      </c>
      <c r="M156" s="4">
        <v>3</v>
      </c>
      <c r="N156" s="4" t="s">
        <v>3</v>
      </c>
      <c r="O156" s="4">
        <v>2</v>
      </c>
      <c r="P156" s="4"/>
      <c r="Q156" s="4"/>
      <c r="R156" s="4"/>
      <c r="S156" s="4"/>
      <c r="T156" s="4"/>
      <c r="U156" s="4"/>
      <c r="V156" s="4"/>
      <c r="W156" s="4">
        <v>0</v>
      </c>
      <c r="X156" s="4">
        <v>1</v>
      </c>
      <c r="Y156" s="4">
        <v>0</v>
      </c>
      <c r="Z156" s="4"/>
      <c r="AA156" s="4"/>
      <c r="AB156" s="4"/>
    </row>
    <row r="157" spans="1:88" x14ac:dyDescent="0.2">
      <c r="A157" s="4">
        <v>50</v>
      </c>
      <c r="B157" s="4">
        <v>0</v>
      </c>
      <c r="C157" s="4">
        <v>0</v>
      </c>
      <c r="D157" s="4">
        <v>1</v>
      </c>
      <c r="E157" s="4">
        <v>224</v>
      </c>
      <c r="F157" s="4">
        <f>ROUND(Source!AR129,O157)</f>
        <v>2560225.0299999998</v>
      </c>
      <c r="G157" s="4" t="s">
        <v>121</v>
      </c>
      <c r="H157" s="4" t="s">
        <v>122</v>
      </c>
      <c r="I157" s="4"/>
      <c r="J157" s="4"/>
      <c r="K157" s="4">
        <v>224</v>
      </c>
      <c r="L157" s="4">
        <v>27</v>
      </c>
      <c r="M157" s="4">
        <v>3</v>
      </c>
      <c r="N157" s="4" t="s">
        <v>3</v>
      </c>
      <c r="O157" s="4">
        <v>2</v>
      </c>
      <c r="P157" s="4"/>
      <c r="Q157" s="4"/>
      <c r="R157" s="4"/>
      <c r="S157" s="4"/>
      <c r="T157" s="4"/>
      <c r="U157" s="4"/>
      <c r="V157" s="4"/>
      <c r="W157" s="4">
        <v>2560225.0299999998</v>
      </c>
      <c r="X157" s="4">
        <v>1</v>
      </c>
      <c r="Y157" s="4">
        <v>2560225.0299999998</v>
      </c>
      <c r="Z157" s="4"/>
      <c r="AA157" s="4"/>
      <c r="AB157" s="4"/>
    </row>
    <row r="159" spans="1:88" x14ac:dyDescent="0.2">
      <c r="A159" s="1">
        <v>4</v>
      </c>
      <c r="B159" s="1">
        <v>1</v>
      </c>
      <c r="C159" s="1"/>
      <c r="D159" s="1">
        <f>ROW(A177)</f>
        <v>177</v>
      </c>
      <c r="E159" s="1"/>
      <c r="F159" s="1" t="s">
        <v>15</v>
      </c>
      <c r="G159" s="1" t="s">
        <v>218</v>
      </c>
      <c r="H159" s="1" t="s">
        <v>3</v>
      </c>
      <c r="I159" s="1">
        <v>0</v>
      </c>
      <c r="J159" s="1"/>
      <c r="K159" s="1">
        <v>0</v>
      </c>
      <c r="L159" s="1"/>
      <c r="M159" s="1" t="s">
        <v>3</v>
      </c>
      <c r="N159" s="1"/>
      <c r="O159" s="1"/>
      <c r="P159" s="1"/>
      <c r="Q159" s="1"/>
      <c r="R159" s="1"/>
      <c r="S159" s="1">
        <v>0</v>
      </c>
      <c r="T159" s="1"/>
      <c r="U159" s="1" t="s">
        <v>3</v>
      </c>
      <c r="V159" s="1">
        <v>0</v>
      </c>
      <c r="W159" s="1"/>
      <c r="X159" s="1"/>
      <c r="Y159" s="1"/>
      <c r="Z159" s="1"/>
      <c r="AA159" s="1"/>
      <c r="AB159" s="1" t="s">
        <v>3</v>
      </c>
      <c r="AC159" s="1" t="s">
        <v>3</v>
      </c>
      <c r="AD159" s="1" t="s">
        <v>3</v>
      </c>
      <c r="AE159" s="1" t="s">
        <v>3</v>
      </c>
      <c r="AF159" s="1" t="s">
        <v>3</v>
      </c>
      <c r="AG159" s="1" t="s">
        <v>3</v>
      </c>
      <c r="AH159" s="1"/>
      <c r="AI159" s="1"/>
      <c r="AJ159" s="1"/>
      <c r="AK159" s="1"/>
      <c r="AL159" s="1"/>
      <c r="AM159" s="1"/>
      <c r="AN159" s="1"/>
      <c r="AO159" s="1"/>
      <c r="AP159" s="1" t="s">
        <v>3</v>
      </c>
      <c r="AQ159" s="1" t="s">
        <v>3</v>
      </c>
      <c r="AR159" s="1" t="s">
        <v>3</v>
      </c>
      <c r="AS159" s="1"/>
      <c r="AT159" s="1"/>
      <c r="AU159" s="1"/>
      <c r="AV159" s="1"/>
      <c r="AW159" s="1"/>
      <c r="AX159" s="1"/>
      <c r="AY159" s="1"/>
      <c r="AZ159" s="1" t="s">
        <v>3</v>
      </c>
      <c r="BA159" s="1"/>
      <c r="BB159" s="1" t="s">
        <v>3</v>
      </c>
      <c r="BC159" s="1" t="s">
        <v>3</v>
      </c>
      <c r="BD159" s="1" t="s">
        <v>3</v>
      </c>
      <c r="BE159" s="1" t="s">
        <v>3</v>
      </c>
      <c r="BF159" s="1" t="s">
        <v>3</v>
      </c>
      <c r="BG159" s="1" t="s">
        <v>3</v>
      </c>
      <c r="BH159" s="1" t="s">
        <v>3</v>
      </c>
      <c r="BI159" s="1" t="s">
        <v>3</v>
      </c>
      <c r="BJ159" s="1" t="s">
        <v>3</v>
      </c>
      <c r="BK159" s="1" t="s">
        <v>3</v>
      </c>
      <c r="BL159" s="1" t="s">
        <v>3</v>
      </c>
      <c r="BM159" s="1" t="s">
        <v>3</v>
      </c>
      <c r="BN159" s="1" t="s">
        <v>3</v>
      </c>
      <c r="BO159" s="1" t="s">
        <v>3</v>
      </c>
      <c r="BP159" s="1" t="s">
        <v>3</v>
      </c>
      <c r="BQ159" s="1"/>
      <c r="BR159" s="1"/>
      <c r="BS159" s="1"/>
      <c r="BT159" s="1"/>
      <c r="BU159" s="1"/>
      <c r="BV159" s="1"/>
      <c r="BW159" s="1"/>
      <c r="BX159" s="1">
        <v>0</v>
      </c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>
        <v>0</v>
      </c>
    </row>
    <row r="161" spans="1:245" x14ac:dyDescent="0.2">
      <c r="A161" s="2">
        <v>52</v>
      </c>
      <c r="B161" s="2">
        <f t="shared" ref="B161:G161" si="152">B177</f>
        <v>1</v>
      </c>
      <c r="C161" s="2">
        <f t="shared" si="152"/>
        <v>4</v>
      </c>
      <c r="D161" s="2">
        <f t="shared" si="152"/>
        <v>159</v>
      </c>
      <c r="E161" s="2">
        <f t="shared" si="152"/>
        <v>0</v>
      </c>
      <c r="F161" s="2" t="str">
        <f t="shared" si="152"/>
        <v>Новый раздел</v>
      </c>
      <c r="G161" s="2" t="str">
        <f t="shared" si="152"/>
        <v>Пусконаладочные работы</v>
      </c>
      <c r="H161" s="2"/>
      <c r="I161" s="2"/>
      <c r="J161" s="2"/>
      <c r="K161" s="2"/>
      <c r="L161" s="2"/>
      <c r="M161" s="2"/>
      <c r="N161" s="2"/>
      <c r="O161" s="2">
        <f t="shared" ref="O161:AT161" si="153">O177</f>
        <v>104180.77</v>
      </c>
      <c r="P161" s="2">
        <f t="shared" si="153"/>
        <v>0</v>
      </c>
      <c r="Q161" s="2">
        <f t="shared" si="153"/>
        <v>0</v>
      </c>
      <c r="R161" s="2">
        <f t="shared" si="153"/>
        <v>0</v>
      </c>
      <c r="S161" s="2">
        <f t="shared" si="153"/>
        <v>104180.77</v>
      </c>
      <c r="T161" s="2">
        <f t="shared" si="153"/>
        <v>0</v>
      </c>
      <c r="U161" s="2">
        <f t="shared" si="153"/>
        <v>224.99999999999997</v>
      </c>
      <c r="V161" s="2">
        <f t="shared" si="153"/>
        <v>0</v>
      </c>
      <c r="W161" s="2">
        <f t="shared" si="153"/>
        <v>0</v>
      </c>
      <c r="X161" s="2">
        <f t="shared" si="153"/>
        <v>72926.55</v>
      </c>
      <c r="Y161" s="2">
        <f t="shared" si="153"/>
        <v>42714.12</v>
      </c>
      <c r="Z161" s="2">
        <f t="shared" si="153"/>
        <v>0</v>
      </c>
      <c r="AA161" s="2">
        <f t="shared" si="153"/>
        <v>0</v>
      </c>
      <c r="AB161" s="2">
        <f t="shared" si="153"/>
        <v>104180.77</v>
      </c>
      <c r="AC161" s="2">
        <f t="shared" si="153"/>
        <v>0</v>
      </c>
      <c r="AD161" s="2">
        <f t="shared" si="153"/>
        <v>0</v>
      </c>
      <c r="AE161" s="2">
        <f t="shared" si="153"/>
        <v>0</v>
      </c>
      <c r="AF161" s="2">
        <f t="shared" si="153"/>
        <v>104180.77</v>
      </c>
      <c r="AG161" s="2">
        <f t="shared" si="153"/>
        <v>0</v>
      </c>
      <c r="AH161" s="2">
        <f t="shared" si="153"/>
        <v>224.99999999999997</v>
      </c>
      <c r="AI161" s="2">
        <f t="shared" si="153"/>
        <v>0</v>
      </c>
      <c r="AJ161" s="2">
        <f t="shared" si="153"/>
        <v>0</v>
      </c>
      <c r="AK161" s="2">
        <f t="shared" si="153"/>
        <v>72926.55</v>
      </c>
      <c r="AL161" s="2">
        <f t="shared" si="153"/>
        <v>42714.12</v>
      </c>
      <c r="AM161" s="2">
        <f t="shared" si="153"/>
        <v>0</v>
      </c>
      <c r="AN161" s="2">
        <f t="shared" si="153"/>
        <v>0</v>
      </c>
      <c r="AO161" s="2">
        <f t="shared" si="153"/>
        <v>0</v>
      </c>
      <c r="AP161" s="2">
        <f t="shared" si="153"/>
        <v>0</v>
      </c>
      <c r="AQ161" s="2">
        <f t="shared" si="153"/>
        <v>0</v>
      </c>
      <c r="AR161" s="2">
        <f t="shared" si="153"/>
        <v>219821.44</v>
      </c>
      <c r="AS161" s="2">
        <f t="shared" si="153"/>
        <v>0</v>
      </c>
      <c r="AT161" s="2">
        <f t="shared" si="153"/>
        <v>0</v>
      </c>
      <c r="AU161" s="2">
        <f t="shared" ref="AU161:BZ161" si="154">AU177</f>
        <v>219821.44</v>
      </c>
      <c r="AV161" s="2">
        <f t="shared" si="154"/>
        <v>0</v>
      </c>
      <c r="AW161" s="2">
        <f t="shared" si="154"/>
        <v>0</v>
      </c>
      <c r="AX161" s="2">
        <f t="shared" si="154"/>
        <v>0</v>
      </c>
      <c r="AY161" s="2">
        <f t="shared" si="154"/>
        <v>0</v>
      </c>
      <c r="AZ161" s="2">
        <f t="shared" si="154"/>
        <v>0</v>
      </c>
      <c r="BA161" s="2">
        <f t="shared" si="154"/>
        <v>0</v>
      </c>
      <c r="BB161" s="2">
        <f t="shared" si="154"/>
        <v>0</v>
      </c>
      <c r="BC161" s="2">
        <f t="shared" si="154"/>
        <v>0</v>
      </c>
      <c r="BD161" s="2">
        <f t="shared" si="154"/>
        <v>0</v>
      </c>
      <c r="BE161" s="2">
        <f t="shared" si="154"/>
        <v>0</v>
      </c>
      <c r="BF161" s="2">
        <f t="shared" si="154"/>
        <v>0</v>
      </c>
      <c r="BG161" s="2">
        <f t="shared" si="154"/>
        <v>0</v>
      </c>
      <c r="BH161" s="2">
        <f t="shared" si="154"/>
        <v>0</v>
      </c>
      <c r="BI161" s="2">
        <f t="shared" si="154"/>
        <v>0</v>
      </c>
      <c r="BJ161" s="2">
        <f t="shared" si="154"/>
        <v>0</v>
      </c>
      <c r="BK161" s="2">
        <f t="shared" si="154"/>
        <v>0</v>
      </c>
      <c r="BL161" s="2">
        <f t="shared" si="154"/>
        <v>0</v>
      </c>
      <c r="BM161" s="2">
        <f t="shared" si="154"/>
        <v>0</v>
      </c>
      <c r="BN161" s="2">
        <f t="shared" si="154"/>
        <v>0</v>
      </c>
      <c r="BO161" s="2">
        <f t="shared" si="154"/>
        <v>0</v>
      </c>
      <c r="BP161" s="2">
        <f t="shared" si="154"/>
        <v>0</v>
      </c>
      <c r="BQ161" s="2">
        <f t="shared" si="154"/>
        <v>0</v>
      </c>
      <c r="BR161" s="2">
        <f t="shared" si="154"/>
        <v>0</v>
      </c>
      <c r="BS161" s="2">
        <f t="shared" si="154"/>
        <v>0</v>
      </c>
      <c r="BT161" s="2">
        <f t="shared" si="154"/>
        <v>0</v>
      </c>
      <c r="BU161" s="2">
        <f t="shared" si="154"/>
        <v>0</v>
      </c>
      <c r="BV161" s="2">
        <f t="shared" si="154"/>
        <v>0</v>
      </c>
      <c r="BW161" s="2">
        <f t="shared" si="154"/>
        <v>0</v>
      </c>
      <c r="BX161" s="2">
        <f t="shared" si="154"/>
        <v>0</v>
      </c>
      <c r="BY161" s="2">
        <f t="shared" si="154"/>
        <v>0</v>
      </c>
      <c r="BZ161" s="2">
        <f t="shared" si="154"/>
        <v>0</v>
      </c>
      <c r="CA161" s="2">
        <f t="shared" ref="CA161:DF161" si="155">CA177</f>
        <v>219821.44</v>
      </c>
      <c r="CB161" s="2">
        <f t="shared" si="155"/>
        <v>0</v>
      </c>
      <c r="CC161" s="2">
        <f t="shared" si="155"/>
        <v>0</v>
      </c>
      <c r="CD161" s="2">
        <f t="shared" si="155"/>
        <v>219821.44</v>
      </c>
      <c r="CE161" s="2">
        <f t="shared" si="155"/>
        <v>0</v>
      </c>
      <c r="CF161" s="2">
        <f t="shared" si="155"/>
        <v>0</v>
      </c>
      <c r="CG161" s="2">
        <f t="shared" si="155"/>
        <v>0</v>
      </c>
      <c r="CH161" s="2">
        <f t="shared" si="155"/>
        <v>0</v>
      </c>
      <c r="CI161" s="2">
        <f t="shared" si="155"/>
        <v>0</v>
      </c>
      <c r="CJ161" s="2">
        <f t="shared" si="155"/>
        <v>0</v>
      </c>
      <c r="CK161" s="2">
        <f t="shared" si="155"/>
        <v>0</v>
      </c>
      <c r="CL161" s="2">
        <f t="shared" si="155"/>
        <v>0</v>
      </c>
      <c r="CM161" s="2">
        <f t="shared" si="155"/>
        <v>0</v>
      </c>
      <c r="CN161" s="2">
        <f t="shared" si="155"/>
        <v>0</v>
      </c>
      <c r="CO161" s="2">
        <f t="shared" si="155"/>
        <v>0</v>
      </c>
      <c r="CP161" s="2">
        <f t="shared" si="155"/>
        <v>0</v>
      </c>
      <c r="CQ161" s="2">
        <f t="shared" si="155"/>
        <v>0</v>
      </c>
      <c r="CR161" s="2">
        <f t="shared" si="155"/>
        <v>0</v>
      </c>
      <c r="CS161" s="2">
        <f t="shared" si="155"/>
        <v>0</v>
      </c>
      <c r="CT161" s="2">
        <f t="shared" si="155"/>
        <v>0</v>
      </c>
      <c r="CU161" s="2">
        <f t="shared" si="155"/>
        <v>0</v>
      </c>
      <c r="CV161" s="2">
        <f t="shared" si="155"/>
        <v>0</v>
      </c>
      <c r="CW161" s="2">
        <f t="shared" si="155"/>
        <v>0</v>
      </c>
      <c r="CX161" s="2">
        <f t="shared" si="155"/>
        <v>0</v>
      </c>
      <c r="CY161" s="2">
        <f t="shared" si="155"/>
        <v>0</v>
      </c>
      <c r="CZ161" s="2">
        <f t="shared" si="155"/>
        <v>0</v>
      </c>
      <c r="DA161" s="2">
        <f t="shared" si="155"/>
        <v>0</v>
      </c>
      <c r="DB161" s="2">
        <f t="shared" si="155"/>
        <v>0</v>
      </c>
      <c r="DC161" s="2">
        <f t="shared" si="155"/>
        <v>0</v>
      </c>
      <c r="DD161" s="2">
        <f t="shared" si="155"/>
        <v>0</v>
      </c>
      <c r="DE161" s="2">
        <f t="shared" si="155"/>
        <v>0</v>
      </c>
      <c r="DF161" s="2">
        <f t="shared" si="155"/>
        <v>0</v>
      </c>
      <c r="DG161" s="3">
        <f t="shared" ref="DG161:EL161" si="156">DG177</f>
        <v>0</v>
      </c>
      <c r="DH161" s="3">
        <f t="shared" si="156"/>
        <v>0</v>
      </c>
      <c r="DI161" s="3">
        <f t="shared" si="156"/>
        <v>0</v>
      </c>
      <c r="DJ161" s="3">
        <f t="shared" si="156"/>
        <v>0</v>
      </c>
      <c r="DK161" s="3">
        <f t="shared" si="156"/>
        <v>0</v>
      </c>
      <c r="DL161" s="3">
        <f t="shared" si="156"/>
        <v>0</v>
      </c>
      <c r="DM161" s="3">
        <f t="shared" si="156"/>
        <v>0</v>
      </c>
      <c r="DN161" s="3">
        <f t="shared" si="156"/>
        <v>0</v>
      </c>
      <c r="DO161" s="3">
        <f t="shared" si="156"/>
        <v>0</v>
      </c>
      <c r="DP161" s="3">
        <f t="shared" si="156"/>
        <v>0</v>
      </c>
      <c r="DQ161" s="3">
        <f t="shared" si="156"/>
        <v>0</v>
      </c>
      <c r="DR161" s="3">
        <f t="shared" si="156"/>
        <v>0</v>
      </c>
      <c r="DS161" s="3">
        <f t="shared" si="156"/>
        <v>0</v>
      </c>
      <c r="DT161" s="3">
        <f t="shared" si="156"/>
        <v>0</v>
      </c>
      <c r="DU161" s="3">
        <f t="shared" si="156"/>
        <v>0</v>
      </c>
      <c r="DV161" s="3">
        <f t="shared" si="156"/>
        <v>0</v>
      </c>
      <c r="DW161" s="3">
        <f t="shared" si="156"/>
        <v>0</v>
      </c>
      <c r="DX161" s="3">
        <f t="shared" si="156"/>
        <v>0</v>
      </c>
      <c r="DY161" s="3">
        <f t="shared" si="156"/>
        <v>0</v>
      </c>
      <c r="DZ161" s="3">
        <f t="shared" si="156"/>
        <v>0</v>
      </c>
      <c r="EA161" s="3">
        <f t="shared" si="156"/>
        <v>0</v>
      </c>
      <c r="EB161" s="3">
        <f t="shared" si="156"/>
        <v>0</v>
      </c>
      <c r="EC161" s="3">
        <f t="shared" si="156"/>
        <v>0</v>
      </c>
      <c r="ED161" s="3">
        <f t="shared" si="156"/>
        <v>0</v>
      </c>
      <c r="EE161" s="3">
        <f t="shared" si="156"/>
        <v>0</v>
      </c>
      <c r="EF161" s="3">
        <f t="shared" si="156"/>
        <v>0</v>
      </c>
      <c r="EG161" s="3">
        <f t="shared" si="156"/>
        <v>0</v>
      </c>
      <c r="EH161" s="3">
        <f t="shared" si="156"/>
        <v>0</v>
      </c>
      <c r="EI161" s="3">
        <f t="shared" si="156"/>
        <v>0</v>
      </c>
      <c r="EJ161" s="3">
        <f t="shared" si="156"/>
        <v>0</v>
      </c>
      <c r="EK161" s="3">
        <f t="shared" si="156"/>
        <v>0</v>
      </c>
      <c r="EL161" s="3">
        <f t="shared" si="156"/>
        <v>0</v>
      </c>
      <c r="EM161" s="3">
        <f t="shared" ref="EM161:FR161" si="157">EM177</f>
        <v>0</v>
      </c>
      <c r="EN161" s="3">
        <f t="shared" si="157"/>
        <v>0</v>
      </c>
      <c r="EO161" s="3">
        <f t="shared" si="157"/>
        <v>0</v>
      </c>
      <c r="EP161" s="3">
        <f t="shared" si="157"/>
        <v>0</v>
      </c>
      <c r="EQ161" s="3">
        <f t="shared" si="157"/>
        <v>0</v>
      </c>
      <c r="ER161" s="3">
        <f t="shared" si="157"/>
        <v>0</v>
      </c>
      <c r="ES161" s="3">
        <f t="shared" si="157"/>
        <v>0</v>
      </c>
      <c r="ET161" s="3">
        <f t="shared" si="157"/>
        <v>0</v>
      </c>
      <c r="EU161" s="3">
        <f t="shared" si="157"/>
        <v>0</v>
      </c>
      <c r="EV161" s="3">
        <f t="shared" si="157"/>
        <v>0</v>
      </c>
      <c r="EW161" s="3">
        <f t="shared" si="157"/>
        <v>0</v>
      </c>
      <c r="EX161" s="3">
        <f t="shared" si="157"/>
        <v>0</v>
      </c>
      <c r="EY161" s="3">
        <f t="shared" si="157"/>
        <v>0</v>
      </c>
      <c r="EZ161" s="3">
        <f t="shared" si="157"/>
        <v>0</v>
      </c>
      <c r="FA161" s="3">
        <f t="shared" si="157"/>
        <v>0</v>
      </c>
      <c r="FB161" s="3">
        <f t="shared" si="157"/>
        <v>0</v>
      </c>
      <c r="FC161" s="3">
        <f t="shared" si="157"/>
        <v>0</v>
      </c>
      <c r="FD161" s="3">
        <f t="shared" si="157"/>
        <v>0</v>
      </c>
      <c r="FE161" s="3">
        <f t="shared" si="157"/>
        <v>0</v>
      </c>
      <c r="FF161" s="3">
        <f t="shared" si="157"/>
        <v>0</v>
      </c>
      <c r="FG161" s="3">
        <f t="shared" si="157"/>
        <v>0</v>
      </c>
      <c r="FH161" s="3">
        <f t="shared" si="157"/>
        <v>0</v>
      </c>
      <c r="FI161" s="3">
        <f t="shared" si="157"/>
        <v>0</v>
      </c>
      <c r="FJ161" s="3">
        <f t="shared" si="157"/>
        <v>0</v>
      </c>
      <c r="FK161" s="3">
        <f t="shared" si="157"/>
        <v>0</v>
      </c>
      <c r="FL161" s="3">
        <f t="shared" si="157"/>
        <v>0</v>
      </c>
      <c r="FM161" s="3">
        <f t="shared" si="157"/>
        <v>0</v>
      </c>
      <c r="FN161" s="3">
        <f t="shared" si="157"/>
        <v>0</v>
      </c>
      <c r="FO161" s="3">
        <f t="shared" si="157"/>
        <v>0</v>
      </c>
      <c r="FP161" s="3">
        <f t="shared" si="157"/>
        <v>0</v>
      </c>
      <c r="FQ161" s="3">
        <f t="shared" si="157"/>
        <v>0</v>
      </c>
      <c r="FR161" s="3">
        <f t="shared" si="157"/>
        <v>0</v>
      </c>
      <c r="FS161" s="3">
        <f t="shared" ref="FS161:GX161" si="158">FS177</f>
        <v>0</v>
      </c>
      <c r="FT161" s="3">
        <f t="shared" si="158"/>
        <v>0</v>
      </c>
      <c r="FU161" s="3">
        <f t="shared" si="158"/>
        <v>0</v>
      </c>
      <c r="FV161" s="3">
        <f t="shared" si="158"/>
        <v>0</v>
      </c>
      <c r="FW161" s="3">
        <f t="shared" si="158"/>
        <v>0</v>
      </c>
      <c r="FX161" s="3">
        <f t="shared" si="158"/>
        <v>0</v>
      </c>
      <c r="FY161" s="3">
        <f t="shared" si="158"/>
        <v>0</v>
      </c>
      <c r="FZ161" s="3">
        <f t="shared" si="158"/>
        <v>0</v>
      </c>
      <c r="GA161" s="3">
        <f t="shared" si="158"/>
        <v>0</v>
      </c>
      <c r="GB161" s="3">
        <f t="shared" si="158"/>
        <v>0</v>
      </c>
      <c r="GC161" s="3">
        <f t="shared" si="158"/>
        <v>0</v>
      </c>
      <c r="GD161" s="3">
        <f t="shared" si="158"/>
        <v>0</v>
      </c>
      <c r="GE161" s="3">
        <f t="shared" si="158"/>
        <v>0</v>
      </c>
      <c r="GF161" s="3">
        <f t="shared" si="158"/>
        <v>0</v>
      </c>
      <c r="GG161" s="3">
        <f t="shared" si="158"/>
        <v>0</v>
      </c>
      <c r="GH161" s="3">
        <f t="shared" si="158"/>
        <v>0</v>
      </c>
      <c r="GI161" s="3">
        <f t="shared" si="158"/>
        <v>0</v>
      </c>
      <c r="GJ161" s="3">
        <f t="shared" si="158"/>
        <v>0</v>
      </c>
      <c r="GK161" s="3">
        <f t="shared" si="158"/>
        <v>0</v>
      </c>
      <c r="GL161" s="3">
        <f t="shared" si="158"/>
        <v>0</v>
      </c>
      <c r="GM161" s="3">
        <f t="shared" si="158"/>
        <v>0</v>
      </c>
      <c r="GN161" s="3">
        <f t="shared" si="158"/>
        <v>0</v>
      </c>
      <c r="GO161" s="3">
        <f t="shared" si="158"/>
        <v>0</v>
      </c>
      <c r="GP161" s="3">
        <f t="shared" si="158"/>
        <v>0</v>
      </c>
      <c r="GQ161" s="3">
        <f t="shared" si="158"/>
        <v>0</v>
      </c>
      <c r="GR161" s="3">
        <f t="shared" si="158"/>
        <v>0</v>
      </c>
      <c r="GS161" s="3">
        <f t="shared" si="158"/>
        <v>0</v>
      </c>
      <c r="GT161" s="3">
        <f t="shared" si="158"/>
        <v>0</v>
      </c>
      <c r="GU161" s="3">
        <f t="shared" si="158"/>
        <v>0</v>
      </c>
      <c r="GV161" s="3">
        <f t="shared" si="158"/>
        <v>0</v>
      </c>
      <c r="GW161" s="3">
        <f t="shared" si="158"/>
        <v>0</v>
      </c>
      <c r="GX161" s="3">
        <f t="shared" si="158"/>
        <v>0</v>
      </c>
    </row>
    <row r="163" spans="1:245" x14ac:dyDescent="0.2">
      <c r="A163">
        <v>17</v>
      </c>
      <c r="B163">
        <v>1</v>
      </c>
      <c r="C163">
        <f>ROW(SmtRes!A54)</f>
        <v>54</v>
      </c>
      <c r="D163">
        <f>ROW(EtalonRes!A47)</f>
        <v>47</v>
      </c>
      <c r="E163" t="s">
        <v>219</v>
      </c>
      <c r="F163" t="s">
        <v>220</v>
      </c>
      <c r="G163" t="s">
        <v>221</v>
      </c>
      <c r="H163" t="s">
        <v>49</v>
      </c>
      <c r="I163">
        <v>1</v>
      </c>
      <c r="J163">
        <v>0</v>
      </c>
      <c r="K163">
        <v>1</v>
      </c>
      <c r="O163">
        <f t="shared" ref="O163:O175" si="159">ROUND(CP163,2)</f>
        <v>5020.3999999999996</v>
      </c>
      <c r="P163">
        <f t="shared" ref="P163:P175" si="160">ROUND(CQ163*I163,2)</f>
        <v>0</v>
      </c>
      <c r="Q163">
        <f t="shared" ref="Q163:Q175" si="161">ROUND(CR163*I163,2)</f>
        <v>0</v>
      </c>
      <c r="R163">
        <f t="shared" ref="R163:R175" si="162">ROUND(CS163*I163,2)</f>
        <v>0</v>
      </c>
      <c r="S163">
        <f t="shared" ref="S163:S175" si="163">ROUND(CT163*I163,2)</f>
        <v>5020.3999999999996</v>
      </c>
      <c r="T163">
        <f t="shared" ref="T163:T175" si="164">ROUND(CU163*I163,2)</f>
        <v>0</v>
      </c>
      <c r="U163">
        <f t="shared" ref="U163:U175" si="165">CV163*I163</f>
        <v>11</v>
      </c>
      <c r="V163">
        <f t="shared" ref="V163:V175" si="166">CW163*I163</f>
        <v>0</v>
      </c>
      <c r="W163">
        <f t="shared" ref="W163:W175" si="167">ROUND(CX163*I163,2)</f>
        <v>0</v>
      </c>
      <c r="X163">
        <f t="shared" ref="X163:X175" si="168">ROUND(CY163,2)</f>
        <v>3514.28</v>
      </c>
      <c r="Y163">
        <f t="shared" ref="Y163:Y175" si="169">ROUND(CZ163,2)</f>
        <v>2058.36</v>
      </c>
      <c r="AA163">
        <v>59267179</v>
      </c>
      <c r="AB163">
        <f t="shared" ref="AB163:AB175" si="170">ROUND((AC163+AD163+AF163),6)</f>
        <v>175.11</v>
      </c>
      <c r="AC163">
        <f t="shared" ref="AC163:AC175" si="171">ROUND((ES163),6)</f>
        <v>0</v>
      </c>
      <c r="AD163">
        <f t="shared" ref="AD163:AD175" si="172">ROUND((ET163),6)</f>
        <v>0</v>
      </c>
      <c r="AE163">
        <f t="shared" ref="AE163:AE175" si="173">ROUND((EU163),6)</f>
        <v>0</v>
      </c>
      <c r="AF163">
        <f t="shared" ref="AF163:AF175" si="174">ROUND((EV163),6)</f>
        <v>175.11</v>
      </c>
      <c r="AG163">
        <f t="shared" ref="AG163:AG175" si="175">ROUND((AP163),6)</f>
        <v>0</v>
      </c>
      <c r="AH163">
        <f t="shared" ref="AH163:AH175" si="176">(EW163)</f>
        <v>11</v>
      </c>
      <c r="AI163">
        <f t="shared" ref="AI163:AI175" si="177">(EX163)</f>
        <v>0</v>
      </c>
      <c r="AJ163">
        <f t="shared" ref="AJ163:AJ175" si="178">(AS163)</f>
        <v>0</v>
      </c>
      <c r="AK163">
        <v>175.11</v>
      </c>
      <c r="AL163">
        <v>0</v>
      </c>
      <c r="AM163">
        <v>0</v>
      </c>
      <c r="AN163">
        <v>0</v>
      </c>
      <c r="AO163">
        <v>175.11</v>
      </c>
      <c r="AP163">
        <v>0</v>
      </c>
      <c r="AQ163">
        <v>11</v>
      </c>
      <c r="AR163">
        <v>0</v>
      </c>
      <c r="AS163">
        <v>0</v>
      </c>
      <c r="AT163">
        <v>70</v>
      </c>
      <c r="AU163">
        <v>41</v>
      </c>
      <c r="AV163">
        <v>1</v>
      </c>
      <c r="AW163">
        <v>1</v>
      </c>
      <c r="AZ163">
        <v>1</v>
      </c>
      <c r="BA163">
        <v>28.67</v>
      </c>
      <c r="BB163">
        <v>1</v>
      </c>
      <c r="BC163">
        <v>1</v>
      </c>
      <c r="BD163" t="s">
        <v>3</v>
      </c>
      <c r="BE163" t="s">
        <v>3</v>
      </c>
      <c r="BF163" t="s">
        <v>3</v>
      </c>
      <c r="BG163" t="s">
        <v>3</v>
      </c>
      <c r="BH163">
        <v>0</v>
      </c>
      <c r="BI163">
        <v>4</v>
      </c>
      <c r="BJ163" t="s">
        <v>222</v>
      </c>
      <c r="BM163">
        <v>381</v>
      </c>
      <c r="BN163">
        <v>0</v>
      </c>
      <c r="BO163" t="s">
        <v>3</v>
      </c>
      <c r="BP163">
        <v>0</v>
      </c>
      <c r="BQ163">
        <v>50</v>
      </c>
      <c r="BR163">
        <v>0</v>
      </c>
      <c r="BS163">
        <v>28.67</v>
      </c>
      <c r="BT163">
        <v>1</v>
      </c>
      <c r="BU163">
        <v>1</v>
      </c>
      <c r="BV163">
        <v>1</v>
      </c>
      <c r="BW163">
        <v>1</v>
      </c>
      <c r="BX163">
        <v>1</v>
      </c>
      <c r="BY163" t="s">
        <v>3</v>
      </c>
      <c r="BZ163">
        <v>70</v>
      </c>
      <c r="CA163">
        <v>41</v>
      </c>
      <c r="CB163" t="s">
        <v>3</v>
      </c>
      <c r="CE163">
        <v>0</v>
      </c>
      <c r="CF163">
        <v>0</v>
      </c>
      <c r="CG163">
        <v>0</v>
      </c>
      <c r="CM163">
        <v>0</v>
      </c>
      <c r="CN163" t="s">
        <v>3</v>
      </c>
      <c r="CO163">
        <v>0</v>
      </c>
      <c r="CP163">
        <f t="shared" ref="CP163:CP175" si="179">(P163+Q163+S163)</f>
        <v>5020.3999999999996</v>
      </c>
      <c r="CQ163">
        <f t="shared" ref="CQ163:CQ175" si="180">(AC163*BC163*AW163)</f>
        <v>0</v>
      </c>
      <c r="CR163">
        <f t="shared" ref="CR163:CR175" si="181">(AD163*BB163*AV163)</f>
        <v>0</v>
      </c>
      <c r="CS163">
        <f t="shared" ref="CS163:CS175" si="182">(AE163*BS163*AV163)</f>
        <v>0</v>
      </c>
      <c r="CT163">
        <f t="shared" ref="CT163:CT175" si="183">(AF163*BA163*AV163)</f>
        <v>5020.4037000000008</v>
      </c>
      <c r="CU163">
        <f t="shared" ref="CU163:CU175" si="184">AG163</f>
        <v>0</v>
      </c>
      <c r="CV163">
        <f t="shared" ref="CV163:CV175" si="185">(AH163*AV163)</f>
        <v>11</v>
      </c>
      <c r="CW163">
        <f t="shared" ref="CW163:CW175" si="186">AI163</f>
        <v>0</v>
      </c>
      <c r="CX163">
        <f t="shared" ref="CX163:CX175" si="187">AJ163</f>
        <v>0</v>
      </c>
      <c r="CY163">
        <f t="shared" ref="CY163:CY175" si="188">S163*(BZ163/100)</f>
        <v>3514.2799999999997</v>
      </c>
      <c r="CZ163">
        <f t="shared" ref="CZ163:CZ175" si="189">S163*(CA163/100)</f>
        <v>2058.3639999999996</v>
      </c>
      <c r="DC163" t="s">
        <v>3</v>
      </c>
      <c r="DD163" t="s">
        <v>3</v>
      </c>
      <c r="DE163" t="s">
        <v>3</v>
      </c>
      <c r="DF163" t="s">
        <v>3</v>
      </c>
      <c r="DG163" t="s">
        <v>3</v>
      </c>
      <c r="DH163" t="s">
        <v>3</v>
      </c>
      <c r="DI163" t="s">
        <v>3</v>
      </c>
      <c r="DJ163" t="s">
        <v>3</v>
      </c>
      <c r="DK163" t="s">
        <v>3</v>
      </c>
      <c r="DL163" t="s">
        <v>3</v>
      </c>
      <c r="DM163" t="s">
        <v>3</v>
      </c>
      <c r="DN163">
        <v>75</v>
      </c>
      <c r="DO163">
        <v>70</v>
      </c>
      <c r="DP163">
        <v>1</v>
      </c>
      <c r="DQ163">
        <v>1</v>
      </c>
      <c r="DU163">
        <v>1013</v>
      </c>
      <c r="DV163" t="s">
        <v>49</v>
      </c>
      <c r="DW163" t="s">
        <v>49</v>
      </c>
      <c r="DX163">
        <v>1</v>
      </c>
      <c r="DZ163" t="s">
        <v>3</v>
      </c>
      <c r="EA163" t="s">
        <v>3</v>
      </c>
      <c r="EB163" t="s">
        <v>3</v>
      </c>
      <c r="EC163" t="s">
        <v>3</v>
      </c>
      <c r="EE163">
        <v>42063985</v>
      </c>
      <c r="EF163">
        <v>50</v>
      </c>
      <c r="EG163" t="s">
        <v>218</v>
      </c>
      <c r="EH163">
        <v>0</v>
      </c>
      <c r="EI163" t="s">
        <v>3</v>
      </c>
      <c r="EJ163">
        <v>4</v>
      </c>
      <c r="EK163">
        <v>381</v>
      </c>
      <c r="EL163" t="s">
        <v>223</v>
      </c>
      <c r="EM163" t="s">
        <v>224</v>
      </c>
      <c r="EO163" t="s">
        <v>3</v>
      </c>
      <c r="EQ163">
        <v>0</v>
      </c>
      <c r="ER163">
        <v>175.11</v>
      </c>
      <c r="ES163">
        <v>0</v>
      </c>
      <c r="ET163">
        <v>0</v>
      </c>
      <c r="EU163">
        <v>0</v>
      </c>
      <c r="EV163">
        <v>175.11</v>
      </c>
      <c r="EW163">
        <v>11</v>
      </c>
      <c r="EX163">
        <v>0</v>
      </c>
      <c r="EY163">
        <v>0</v>
      </c>
      <c r="FQ163">
        <v>0</v>
      </c>
      <c r="FR163">
        <f t="shared" ref="FR163:FR175" si="190">ROUND(IF(AND(BH163=3,BI163=3),P163,0),2)</f>
        <v>0</v>
      </c>
      <c r="FS163">
        <v>0</v>
      </c>
      <c r="FX163">
        <v>75</v>
      </c>
      <c r="FY163">
        <v>70</v>
      </c>
      <c r="GA163" t="s">
        <v>3</v>
      </c>
      <c r="GD163">
        <v>0</v>
      </c>
      <c r="GF163">
        <v>594664180</v>
      </c>
      <c r="GG163">
        <v>2</v>
      </c>
      <c r="GH163">
        <v>1</v>
      </c>
      <c r="GI163">
        <v>2</v>
      </c>
      <c r="GJ163">
        <v>0</v>
      </c>
      <c r="GK163">
        <f>ROUND(R163*(R12)/100,2)</f>
        <v>0</v>
      </c>
      <c r="GL163">
        <f t="shared" ref="GL163:GL175" si="191">ROUND(IF(AND(BH163=3,BI163=3,FS163&lt;&gt;0),P163,0),2)</f>
        <v>0</v>
      </c>
      <c r="GM163">
        <f t="shared" ref="GM163:GM175" si="192">ROUND(O163+X163+Y163+GK163,2)+GX163</f>
        <v>10593.04</v>
      </c>
      <c r="GN163">
        <f t="shared" ref="GN163:GN175" si="193">IF(OR(BI163=0,BI163=1),ROUND(O163+X163+Y163+GK163,2),0)</f>
        <v>0</v>
      </c>
      <c r="GO163">
        <f t="shared" ref="GO163:GO175" si="194">IF(BI163=2,ROUND(O163+X163+Y163+GK163,2),0)</f>
        <v>0</v>
      </c>
      <c r="GP163">
        <f t="shared" ref="GP163:GP175" si="195">IF(BI163=4,ROUND(O163+X163+Y163+GK163,2)+GX163,0)</f>
        <v>10593.04</v>
      </c>
      <c r="GR163">
        <v>0</v>
      </c>
      <c r="GS163">
        <v>3</v>
      </c>
      <c r="GT163">
        <v>0</v>
      </c>
      <c r="GU163" t="s">
        <v>3</v>
      </c>
      <c r="GV163">
        <f t="shared" ref="GV163:GV175" si="196">ROUND((GT163),6)</f>
        <v>0</v>
      </c>
      <c r="GW163">
        <v>1</v>
      </c>
      <c r="GX163">
        <f t="shared" ref="GX163:GX175" si="197">ROUND(HC163*I163,2)</f>
        <v>0</v>
      </c>
      <c r="HA163">
        <v>0</v>
      </c>
      <c r="HB163">
        <v>0</v>
      </c>
      <c r="HC163">
        <f t="shared" ref="HC163:HC175" si="198">GV163*GW163</f>
        <v>0</v>
      </c>
      <c r="HE163" t="s">
        <v>3</v>
      </c>
      <c r="HF163" t="s">
        <v>3</v>
      </c>
      <c r="HM163" t="s">
        <v>3</v>
      </c>
      <c r="HN163" t="s">
        <v>3</v>
      </c>
      <c r="HO163" t="s">
        <v>3</v>
      </c>
      <c r="HP163" t="s">
        <v>3</v>
      </c>
      <c r="HQ163" t="s">
        <v>3</v>
      </c>
      <c r="IK163">
        <v>0</v>
      </c>
    </row>
    <row r="164" spans="1:245" x14ac:dyDescent="0.2">
      <c r="A164">
        <v>17</v>
      </c>
      <c r="B164">
        <v>1</v>
      </c>
      <c r="C164">
        <f>ROW(SmtRes!A55)</f>
        <v>55</v>
      </c>
      <c r="D164">
        <f>ROW(EtalonRes!A48)</f>
        <v>48</v>
      </c>
      <c r="E164" t="s">
        <v>225</v>
      </c>
      <c r="F164" t="s">
        <v>226</v>
      </c>
      <c r="G164" t="s">
        <v>227</v>
      </c>
      <c r="H164" t="s">
        <v>49</v>
      </c>
      <c r="I164">
        <v>6</v>
      </c>
      <c r="J164">
        <v>0</v>
      </c>
      <c r="K164">
        <v>6</v>
      </c>
      <c r="O164">
        <f t="shared" si="159"/>
        <v>3216.77</v>
      </c>
      <c r="P164">
        <f t="shared" si="160"/>
        <v>0</v>
      </c>
      <c r="Q164">
        <f t="shared" si="161"/>
        <v>0</v>
      </c>
      <c r="R164">
        <f t="shared" si="162"/>
        <v>0</v>
      </c>
      <c r="S164">
        <f t="shared" si="163"/>
        <v>3216.77</v>
      </c>
      <c r="T164">
        <f t="shared" si="164"/>
        <v>0</v>
      </c>
      <c r="U164">
        <f t="shared" si="165"/>
        <v>7.8000000000000007</v>
      </c>
      <c r="V164">
        <f t="shared" si="166"/>
        <v>0</v>
      </c>
      <c r="W164">
        <f t="shared" si="167"/>
        <v>0</v>
      </c>
      <c r="X164">
        <f t="shared" si="168"/>
        <v>2251.7399999999998</v>
      </c>
      <c r="Y164">
        <f t="shared" si="169"/>
        <v>1318.88</v>
      </c>
      <c r="AA164">
        <v>59267179</v>
      </c>
      <c r="AB164">
        <f t="shared" si="170"/>
        <v>18.7</v>
      </c>
      <c r="AC164">
        <f t="shared" si="171"/>
        <v>0</v>
      </c>
      <c r="AD164">
        <f t="shared" si="172"/>
        <v>0</v>
      </c>
      <c r="AE164">
        <f t="shared" si="173"/>
        <v>0</v>
      </c>
      <c r="AF164">
        <f t="shared" si="174"/>
        <v>18.7</v>
      </c>
      <c r="AG164">
        <f t="shared" si="175"/>
        <v>0</v>
      </c>
      <c r="AH164">
        <f t="shared" si="176"/>
        <v>1.3</v>
      </c>
      <c r="AI164">
        <f t="shared" si="177"/>
        <v>0</v>
      </c>
      <c r="AJ164">
        <f t="shared" si="178"/>
        <v>0</v>
      </c>
      <c r="AK164">
        <v>18.7</v>
      </c>
      <c r="AL164">
        <v>0</v>
      </c>
      <c r="AM164">
        <v>0</v>
      </c>
      <c r="AN164">
        <v>0</v>
      </c>
      <c r="AO164">
        <v>18.7</v>
      </c>
      <c r="AP164">
        <v>0</v>
      </c>
      <c r="AQ164">
        <v>1.3</v>
      </c>
      <c r="AR164">
        <v>0</v>
      </c>
      <c r="AS164">
        <v>0</v>
      </c>
      <c r="AT164">
        <v>70</v>
      </c>
      <c r="AU164">
        <v>41</v>
      </c>
      <c r="AV164">
        <v>1</v>
      </c>
      <c r="AW164">
        <v>1</v>
      </c>
      <c r="AZ164">
        <v>1</v>
      </c>
      <c r="BA164">
        <v>28.67</v>
      </c>
      <c r="BB164">
        <v>1</v>
      </c>
      <c r="BC164">
        <v>1</v>
      </c>
      <c r="BD164" t="s">
        <v>3</v>
      </c>
      <c r="BE164" t="s">
        <v>3</v>
      </c>
      <c r="BF164" t="s">
        <v>3</v>
      </c>
      <c r="BG164" t="s">
        <v>3</v>
      </c>
      <c r="BH164">
        <v>0</v>
      </c>
      <c r="BI164">
        <v>4</v>
      </c>
      <c r="BJ164" t="s">
        <v>228</v>
      </c>
      <c r="BM164">
        <v>381</v>
      </c>
      <c r="BN164">
        <v>0</v>
      </c>
      <c r="BO164" t="s">
        <v>3</v>
      </c>
      <c r="BP164">
        <v>0</v>
      </c>
      <c r="BQ164">
        <v>50</v>
      </c>
      <c r="BR164">
        <v>0</v>
      </c>
      <c r="BS164">
        <v>28.67</v>
      </c>
      <c r="BT164">
        <v>1</v>
      </c>
      <c r="BU164">
        <v>1</v>
      </c>
      <c r="BV164">
        <v>1</v>
      </c>
      <c r="BW164">
        <v>1</v>
      </c>
      <c r="BX164">
        <v>1</v>
      </c>
      <c r="BY164" t="s">
        <v>3</v>
      </c>
      <c r="BZ164">
        <v>70</v>
      </c>
      <c r="CA164">
        <v>41</v>
      </c>
      <c r="CB164" t="s">
        <v>3</v>
      </c>
      <c r="CE164">
        <v>0</v>
      </c>
      <c r="CF164">
        <v>0</v>
      </c>
      <c r="CG164">
        <v>0</v>
      </c>
      <c r="CM164">
        <v>0</v>
      </c>
      <c r="CN164" t="s">
        <v>3</v>
      </c>
      <c r="CO164">
        <v>0</v>
      </c>
      <c r="CP164">
        <f t="shared" si="179"/>
        <v>3216.77</v>
      </c>
      <c r="CQ164">
        <f t="shared" si="180"/>
        <v>0</v>
      </c>
      <c r="CR164">
        <f t="shared" si="181"/>
        <v>0</v>
      </c>
      <c r="CS164">
        <f t="shared" si="182"/>
        <v>0</v>
      </c>
      <c r="CT164">
        <f t="shared" si="183"/>
        <v>536.12900000000002</v>
      </c>
      <c r="CU164">
        <f t="shared" si="184"/>
        <v>0</v>
      </c>
      <c r="CV164">
        <f t="shared" si="185"/>
        <v>1.3</v>
      </c>
      <c r="CW164">
        <f t="shared" si="186"/>
        <v>0</v>
      </c>
      <c r="CX164">
        <f t="shared" si="187"/>
        <v>0</v>
      </c>
      <c r="CY164">
        <f t="shared" si="188"/>
        <v>2251.739</v>
      </c>
      <c r="CZ164">
        <f t="shared" si="189"/>
        <v>1318.8756999999998</v>
      </c>
      <c r="DC164" t="s">
        <v>3</v>
      </c>
      <c r="DD164" t="s">
        <v>3</v>
      </c>
      <c r="DE164" t="s">
        <v>3</v>
      </c>
      <c r="DF164" t="s">
        <v>3</v>
      </c>
      <c r="DG164" t="s">
        <v>3</v>
      </c>
      <c r="DH164" t="s">
        <v>3</v>
      </c>
      <c r="DI164" t="s">
        <v>3</v>
      </c>
      <c r="DJ164" t="s">
        <v>3</v>
      </c>
      <c r="DK164" t="s">
        <v>3</v>
      </c>
      <c r="DL164" t="s">
        <v>3</v>
      </c>
      <c r="DM164" t="s">
        <v>3</v>
      </c>
      <c r="DN164">
        <v>75</v>
      </c>
      <c r="DO164">
        <v>70</v>
      </c>
      <c r="DP164">
        <v>1</v>
      </c>
      <c r="DQ164">
        <v>1</v>
      </c>
      <c r="DU164">
        <v>1013</v>
      </c>
      <c r="DV164" t="s">
        <v>49</v>
      </c>
      <c r="DW164" t="s">
        <v>49</v>
      </c>
      <c r="DX164">
        <v>1</v>
      </c>
      <c r="DZ164" t="s">
        <v>3</v>
      </c>
      <c r="EA164" t="s">
        <v>3</v>
      </c>
      <c r="EB164" t="s">
        <v>3</v>
      </c>
      <c r="EC164" t="s">
        <v>3</v>
      </c>
      <c r="EE164">
        <v>42063985</v>
      </c>
      <c r="EF164">
        <v>50</v>
      </c>
      <c r="EG164" t="s">
        <v>218</v>
      </c>
      <c r="EH164">
        <v>0</v>
      </c>
      <c r="EI164" t="s">
        <v>3</v>
      </c>
      <c r="EJ164">
        <v>4</v>
      </c>
      <c r="EK164">
        <v>381</v>
      </c>
      <c r="EL164" t="s">
        <v>223</v>
      </c>
      <c r="EM164" t="s">
        <v>224</v>
      </c>
      <c r="EO164" t="s">
        <v>3</v>
      </c>
      <c r="EQ164">
        <v>0</v>
      </c>
      <c r="ER164">
        <v>18.7</v>
      </c>
      <c r="ES164">
        <v>0</v>
      </c>
      <c r="ET164">
        <v>0</v>
      </c>
      <c r="EU164">
        <v>0</v>
      </c>
      <c r="EV164">
        <v>18.7</v>
      </c>
      <c r="EW164">
        <v>1.3</v>
      </c>
      <c r="EX164">
        <v>0</v>
      </c>
      <c r="EY164">
        <v>0</v>
      </c>
      <c r="FQ164">
        <v>0</v>
      </c>
      <c r="FR164">
        <f t="shared" si="190"/>
        <v>0</v>
      </c>
      <c r="FS164">
        <v>0</v>
      </c>
      <c r="FX164">
        <v>75</v>
      </c>
      <c r="FY164">
        <v>70</v>
      </c>
      <c r="GA164" t="s">
        <v>3</v>
      </c>
      <c r="GD164">
        <v>0</v>
      </c>
      <c r="GF164">
        <v>1517182306</v>
      </c>
      <c r="GG164">
        <v>2</v>
      </c>
      <c r="GH164">
        <v>1</v>
      </c>
      <c r="GI164">
        <v>2</v>
      </c>
      <c r="GJ164">
        <v>0</v>
      </c>
      <c r="GK164">
        <f>ROUND(R164*(R12)/100,2)</f>
        <v>0</v>
      </c>
      <c r="GL164">
        <f t="shared" si="191"/>
        <v>0</v>
      </c>
      <c r="GM164">
        <f t="shared" si="192"/>
        <v>6787.39</v>
      </c>
      <c r="GN164">
        <f t="shared" si="193"/>
        <v>0</v>
      </c>
      <c r="GO164">
        <f t="shared" si="194"/>
        <v>0</v>
      </c>
      <c r="GP164">
        <f t="shared" si="195"/>
        <v>6787.39</v>
      </c>
      <c r="GR164">
        <v>0</v>
      </c>
      <c r="GS164">
        <v>3</v>
      </c>
      <c r="GT164">
        <v>0</v>
      </c>
      <c r="GU164" t="s">
        <v>3</v>
      </c>
      <c r="GV164">
        <f t="shared" si="196"/>
        <v>0</v>
      </c>
      <c r="GW164">
        <v>1</v>
      </c>
      <c r="GX164">
        <f t="shared" si="197"/>
        <v>0</v>
      </c>
      <c r="HA164">
        <v>0</v>
      </c>
      <c r="HB164">
        <v>0</v>
      </c>
      <c r="HC164">
        <f t="shared" si="198"/>
        <v>0</v>
      </c>
      <c r="HE164" t="s">
        <v>3</v>
      </c>
      <c r="HF164" t="s">
        <v>3</v>
      </c>
      <c r="HM164" t="s">
        <v>3</v>
      </c>
      <c r="HN164" t="s">
        <v>3</v>
      </c>
      <c r="HO164" t="s">
        <v>3</v>
      </c>
      <c r="HP164" t="s">
        <v>3</v>
      </c>
      <c r="HQ164" t="s">
        <v>3</v>
      </c>
      <c r="IK164">
        <v>0</v>
      </c>
    </row>
    <row r="165" spans="1:245" x14ac:dyDescent="0.2">
      <c r="A165">
        <v>17</v>
      </c>
      <c r="B165">
        <v>1</v>
      </c>
      <c r="C165">
        <f>ROW(SmtRes!A56)</f>
        <v>56</v>
      </c>
      <c r="D165">
        <f>ROW(EtalonRes!A49)</f>
        <v>49</v>
      </c>
      <c r="E165" t="s">
        <v>229</v>
      </c>
      <c r="F165" t="s">
        <v>230</v>
      </c>
      <c r="G165" t="s">
        <v>231</v>
      </c>
      <c r="H165" t="s">
        <v>49</v>
      </c>
      <c r="I165">
        <v>4</v>
      </c>
      <c r="J165">
        <v>0</v>
      </c>
      <c r="K165">
        <v>4</v>
      </c>
      <c r="O165">
        <f t="shared" si="159"/>
        <v>7425.53</v>
      </c>
      <c r="P165">
        <f t="shared" si="160"/>
        <v>0</v>
      </c>
      <c r="Q165">
        <f t="shared" si="161"/>
        <v>0</v>
      </c>
      <c r="R165">
        <f t="shared" si="162"/>
        <v>0</v>
      </c>
      <c r="S165">
        <f t="shared" si="163"/>
        <v>7425.53</v>
      </c>
      <c r="T165">
        <f t="shared" si="164"/>
        <v>0</v>
      </c>
      <c r="U165">
        <f t="shared" si="165"/>
        <v>18</v>
      </c>
      <c r="V165">
        <f t="shared" si="166"/>
        <v>0</v>
      </c>
      <c r="W165">
        <f t="shared" si="167"/>
        <v>0</v>
      </c>
      <c r="X165">
        <f t="shared" si="168"/>
        <v>5197.87</v>
      </c>
      <c r="Y165">
        <f t="shared" si="169"/>
        <v>3044.47</v>
      </c>
      <c r="AA165">
        <v>59267179</v>
      </c>
      <c r="AB165">
        <f t="shared" si="170"/>
        <v>64.75</v>
      </c>
      <c r="AC165">
        <f t="shared" si="171"/>
        <v>0</v>
      </c>
      <c r="AD165">
        <f t="shared" si="172"/>
        <v>0</v>
      </c>
      <c r="AE165">
        <f t="shared" si="173"/>
        <v>0</v>
      </c>
      <c r="AF165">
        <f t="shared" si="174"/>
        <v>64.75</v>
      </c>
      <c r="AG165">
        <f t="shared" si="175"/>
        <v>0</v>
      </c>
      <c r="AH165">
        <f t="shared" si="176"/>
        <v>4.5</v>
      </c>
      <c r="AI165">
        <f t="shared" si="177"/>
        <v>0</v>
      </c>
      <c r="AJ165">
        <f t="shared" si="178"/>
        <v>0</v>
      </c>
      <c r="AK165">
        <v>64.75</v>
      </c>
      <c r="AL165">
        <v>0</v>
      </c>
      <c r="AM165">
        <v>0</v>
      </c>
      <c r="AN165">
        <v>0</v>
      </c>
      <c r="AO165">
        <v>64.75</v>
      </c>
      <c r="AP165">
        <v>0</v>
      </c>
      <c r="AQ165">
        <v>4.5</v>
      </c>
      <c r="AR165">
        <v>0</v>
      </c>
      <c r="AS165">
        <v>0</v>
      </c>
      <c r="AT165">
        <v>70</v>
      </c>
      <c r="AU165">
        <v>41</v>
      </c>
      <c r="AV165">
        <v>1</v>
      </c>
      <c r="AW165">
        <v>1</v>
      </c>
      <c r="AZ165">
        <v>1</v>
      </c>
      <c r="BA165">
        <v>28.67</v>
      </c>
      <c r="BB165">
        <v>1</v>
      </c>
      <c r="BC165">
        <v>1</v>
      </c>
      <c r="BD165" t="s">
        <v>3</v>
      </c>
      <c r="BE165" t="s">
        <v>3</v>
      </c>
      <c r="BF165" t="s">
        <v>3</v>
      </c>
      <c r="BG165" t="s">
        <v>3</v>
      </c>
      <c r="BH165">
        <v>0</v>
      </c>
      <c r="BI165">
        <v>4</v>
      </c>
      <c r="BJ165" t="s">
        <v>232</v>
      </c>
      <c r="BM165">
        <v>381</v>
      </c>
      <c r="BN165">
        <v>0</v>
      </c>
      <c r="BO165" t="s">
        <v>3</v>
      </c>
      <c r="BP165">
        <v>0</v>
      </c>
      <c r="BQ165">
        <v>50</v>
      </c>
      <c r="BR165">
        <v>0</v>
      </c>
      <c r="BS165">
        <v>28.67</v>
      </c>
      <c r="BT165">
        <v>1</v>
      </c>
      <c r="BU165">
        <v>1</v>
      </c>
      <c r="BV165">
        <v>1</v>
      </c>
      <c r="BW165">
        <v>1</v>
      </c>
      <c r="BX165">
        <v>1</v>
      </c>
      <c r="BY165" t="s">
        <v>3</v>
      </c>
      <c r="BZ165">
        <v>70</v>
      </c>
      <c r="CA165">
        <v>41</v>
      </c>
      <c r="CB165" t="s">
        <v>3</v>
      </c>
      <c r="CE165">
        <v>0</v>
      </c>
      <c r="CF165">
        <v>0</v>
      </c>
      <c r="CG165">
        <v>0</v>
      </c>
      <c r="CM165">
        <v>0</v>
      </c>
      <c r="CN165" t="s">
        <v>3</v>
      </c>
      <c r="CO165">
        <v>0</v>
      </c>
      <c r="CP165">
        <f t="shared" si="179"/>
        <v>7425.53</v>
      </c>
      <c r="CQ165">
        <f t="shared" si="180"/>
        <v>0</v>
      </c>
      <c r="CR165">
        <f t="shared" si="181"/>
        <v>0</v>
      </c>
      <c r="CS165">
        <f t="shared" si="182"/>
        <v>0</v>
      </c>
      <c r="CT165">
        <f t="shared" si="183"/>
        <v>1856.3825000000002</v>
      </c>
      <c r="CU165">
        <f t="shared" si="184"/>
        <v>0</v>
      </c>
      <c r="CV165">
        <f t="shared" si="185"/>
        <v>4.5</v>
      </c>
      <c r="CW165">
        <f t="shared" si="186"/>
        <v>0</v>
      </c>
      <c r="CX165">
        <f t="shared" si="187"/>
        <v>0</v>
      </c>
      <c r="CY165">
        <f t="shared" si="188"/>
        <v>5197.8709999999992</v>
      </c>
      <c r="CZ165">
        <f t="shared" si="189"/>
        <v>3044.4672999999998</v>
      </c>
      <c r="DC165" t="s">
        <v>3</v>
      </c>
      <c r="DD165" t="s">
        <v>3</v>
      </c>
      <c r="DE165" t="s">
        <v>3</v>
      </c>
      <c r="DF165" t="s">
        <v>3</v>
      </c>
      <c r="DG165" t="s">
        <v>3</v>
      </c>
      <c r="DH165" t="s">
        <v>3</v>
      </c>
      <c r="DI165" t="s">
        <v>3</v>
      </c>
      <c r="DJ165" t="s">
        <v>3</v>
      </c>
      <c r="DK165" t="s">
        <v>3</v>
      </c>
      <c r="DL165" t="s">
        <v>3</v>
      </c>
      <c r="DM165" t="s">
        <v>3</v>
      </c>
      <c r="DN165">
        <v>75</v>
      </c>
      <c r="DO165">
        <v>70</v>
      </c>
      <c r="DP165">
        <v>1</v>
      </c>
      <c r="DQ165">
        <v>1</v>
      </c>
      <c r="DU165">
        <v>1013</v>
      </c>
      <c r="DV165" t="s">
        <v>49</v>
      </c>
      <c r="DW165" t="s">
        <v>49</v>
      </c>
      <c r="DX165">
        <v>1</v>
      </c>
      <c r="DZ165" t="s">
        <v>3</v>
      </c>
      <c r="EA165" t="s">
        <v>3</v>
      </c>
      <c r="EB165" t="s">
        <v>3</v>
      </c>
      <c r="EC165" t="s">
        <v>3</v>
      </c>
      <c r="EE165">
        <v>42063985</v>
      </c>
      <c r="EF165">
        <v>50</v>
      </c>
      <c r="EG165" t="s">
        <v>218</v>
      </c>
      <c r="EH165">
        <v>0</v>
      </c>
      <c r="EI165" t="s">
        <v>3</v>
      </c>
      <c r="EJ165">
        <v>4</v>
      </c>
      <c r="EK165">
        <v>381</v>
      </c>
      <c r="EL165" t="s">
        <v>223</v>
      </c>
      <c r="EM165" t="s">
        <v>224</v>
      </c>
      <c r="EO165" t="s">
        <v>3</v>
      </c>
      <c r="EQ165">
        <v>0</v>
      </c>
      <c r="ER165">
        <v>64.75</v>
      </c>
      <c r="ES165">
        <v>0</v>
      </c>
      <c r="ET165">
        <v>0</v>
      </c>
      <c r="EU165">
        <v>0</v>
      </c>
      <c r="EV165">
        <v>64.75</v>
      </c>
      <c r="EW165">
        <v>4.5</v>
      </c>
      <c r="EX165">
        <v>0</v>
      </c>
      <c r="EY165">
        <v>0</v>
      </c>
      <c r="FQ165">
        <v>0</v>
      </c>
      <c r="FR165">
        <f t="shared" si="190"/>
        <v>0</v>
      </c>
      <c r="FS165">
        <v>0</v>
      </c>
      <c r="FX165">
        <v>75</v>
      </c>
      <c r="FY165">
        <v>70</v>
      </c>
      <c r="GA165" t="s">
        <v>3</v>
      </c>
      <c r="GD165">
        <v>0</v>
      </c>
      <c r="GF165">
        <v>-1312159511</v>
      </c>
      <c r="GG165">
        <v>2</v>
      </c>
      <c r="GH165">
        <v>1</v>
      </c>
      <c r="GI165">
        <v>2</v>
      </c>
      <c r="GJ165">
        <v>0</v>
      </c>
      <c r="GK165">
        <f>ROUND(R165*(R12)/100,2)</f>
        <v>0</v>
      </c>
      <c r="GL165">
        <f t="shared" si="191"/>
        <v>0</v>
      </c>
      <c r="GM165">
        <f t="shared" si="192"/>
        <v>15667.87</v>
      </c>
      <c r="GN165">
        <f t="shared" si="193"/>
        <v>0</v>
      </c>
      <c r="GO165">
        <f t="shared" si="194"/>
        <v>0</v>
      </c>
      <c r="GP165">
        <f t="shared" si="195"/>
        <v>15667.87</v>
      </c>
      <c r="GR165">
        <v>0</v>
      </c>
      <c r="GS165">
        <v>3</v>
      </c>
      <c r="GT165">
        <v>0</v>
      </c>
      <c r="GU165" t="s">
        <v>3</v>
      </c>
      <c r="GV165">
        <f t="shared" si="196"/>
        <v>0</v>
      </c>
      <c r="GW165">
        <v>1</v>
      </c>
      <c r="GX165">
        <f t="shared" si="197"/>
        <v>0</v>
      </c>
      <c r="HA165">
        <v>0</v>
      </c>
      <c r="HB165">
        <v>0</v>
      </c>
      <c r="HC165">
        <f t="shared" si="198"/>
        <v>0</v>
      </c>
      <c r="HE165" t="s">
        <v>3</v>
      </c>
      <c r="HF165" t="s">
        <v>3</v>
      </c>
      <c r="HM165" t="s">
        <v>3</v>
      </c>
      <c r="HN165" t="s">
        <v>3</v>
      </c>
      <c r="HO165" t="s">
        <v>3</v>
      </c>
      <c r="HP165" t="s">
        <v>3</v>
      </c>
      <c r="HQ165" t="s">
        <v>3</v>
      </c>
      <c r="IK165">
        <v>0</v>
      </c>
    </row>
    <row r="166" spans="1:245" x14ac:dyDescent="0.2">
      <c r="A166">
        <v>17</v>
      </c>
      <c r="B166">
        <v>1</v>
      </c>
      <c r="C166">
        <f>ROW(SmtRes!A57)</f>
        <v>57</v>
      </c>
      <c r="D166">
        <f>ROW(EtalonRes!A50)</f>
        <v>50</v>
      </c>
      <c r="E166" t="s">
        <v>233</v>
      </c>
      <c r="F166" t="s">
        <v>234</v>
      </c>
      <c r="G166" t="s">
        <v>235</v>
      </c>
      <c r="H166" t="s">
        <v>49</v>
      </c>
      <c r="I166">
        <v>1</v>
      </c>
      <c r="J166">
        <v>0</v>
      </c>
      <c r="K166">
        <v>1</v>
      </c>
      <c r="O166">
        <f t="shared" si="159"/>
        <v>2598.65</v>
      </c>
      <c r="P166">
        <f t="shared" si="160"/>
        <v>0</v>
      </c>
      <c r="Q166">
        <f t="shared" si="161"/>
        <v>0</v>
      </c>
      <c r="R166">
        <f t="shared" si="162"/>
        <v>0</v>
      </c>
      <c r="S166">
        <f t="shared" si="163"/>
        <v>2598.65</v>
      </c>
      <c r="T166">
        <f t="shared" si="164"/>
        <v>0</v>
      </c>
      <c r="U166">
        <f t="shared" si="165"/>
        <v>6.3</v>
      </c>
      <c r="V166">
        <f t="shared" si="166"/>
        <v>0</v>
      </c>
      <c r="W166">
        <f t="shared" si="167"/>
        <v>0</v>
      </c>
      <c r="X166">
        <f t="shared" si="168"/>
        <v>1819.06</v>
      </c>
      <c r="Y166">
        <f t="shared" si="169"/>
        <v>1065.45</v>
      </c>
      <c r="AA166">
        <v>59267179</v>
      </c>
      <c r="AB166">
        <f t="shared" si="170"/>
        <v>90.64</v>
      </c>
      <c r="AC166">
        <f t="shared" si="171"/>
        <v>0</v>
      </c>
      <c r="AD166">
        <f t="shared" si="172"/>
        <v>0</v>
      </c>
      <c r="AE166">
        <f t="shared" si="173"/>
        <v>0</v>
      </c>
      <c r="AF166">
        <f t="shared" si="174"/>
        <v>90.64</v>
      </c>
      <c r="AG166">
        <f t="shared" si="175"/>
        <v>0</v>
      </c>
      <c r="AH166">
        <f t="shared" si="176"/>
        <v>6.3</v>
      </c>
      <c r="AI166">
        <f t="shared" si="177"/>
        <v>0</v>
      </c>
      <c r="AJ166">
        <f t="shared" si="178"/>
        <v>0</v>
      </c>
      <c r="AK166">
        <v>90.64</v>
      </c>
      <c r="AL166">
        <v>0</v>
      </c>
      <c r="AM166">
        <v>0</v>
      </c>
      <c r="AN166">
        <v>0</v>
      </c>
      <c r="AO166">
        <v>90.64</v>
      </c>
      <c r="AP166">
        <v>0</v>
      </c>
      <c r="AQ166">
        <v>6.3</v>
      </c>
      <c r="AR166">
        <v>0</v>
      </c>
      <c r="AS166">
        <v>0</v>
      </c>
      <c r="AT166">
        <v>70</v>
      </c>
      <c r="AU166">
        <v>41</v>
      </c>
      <c r="AV166">
        <v>1</v>
      </c>
      <c r="AW166">
        <v>1</v>
      </c>
      <c r="AZ166">
        <v>1</v>
      </c>
      <c r="BA166">
        <v>28.67</v>
      </c>
      <c r="BB166">
        <v>1</v>
      </c>
      <c r="BC166">
        <v>1</v>
      </c>
      <c r="BD166" t="s">
        <v>3</v>
      </c>
      <c r="BE166" t="s">
        <v>3</v>
      </c>
      <c r="BF166" t="s">
        <v>3</v>
      </c>
      <c r="BG166" t="s">
        <v>3</v>
      </c>
      <c r="BH166">
        <v>0</v>
      </c>
      <c r="BI166">
        <v>4</v>
      </c>
      <c r="BJ166" t="s">
        <v>236</v>
      </c>
      <c r="BM166">
        <v>381</v>
      </c>
      <c r="BN166">
        <v>0</v>
      </c>
      <c r="BO166" t="s">
        <v>3</v>
      </c>
      <c r="BP166">
        <v>0</v>
      </c>
      <c r="BQ166">
        <v>50</v>
      </c>
      <c r="BR166">
        <v>0</v>
      </c>
      <c r="BS166">
        <v>28.67</v>
      </c>
      <c r="BT166">
        <v>1</v>
      </c>
      <c r="BU166">
        <v>1</v>
      </c>
      <c r="BV166">
        <v>1</v>
      </c>
      <c r="BW166">
        <v>1</v>
      </c>
      <c r="BX166">
        <v>1</v>
      </c>
      <c r="BY166" t="s">
        <v>3</v>
      </c>
      <c r="BZ166">
        <v>70</v>
      </c>
      <c r="CA166">
        <v>41</v>
      </c>
      <c r="CB166" t="s">
        <v>3</v>
      </c>
      <c r="CE166">
        <v>0</v>
      </c>
      <c r="CF166">
        <v>0</v>
      </c>
      <c r="CG166">
        <v>0</v>
      </c>
      <c r="CM166">
        <v>0</v>
      </c>
      <c r="CN166" t="s">
        <v>3</v>
      </c>
      <c r="CO166">
        <v>0</v>
      </c>
      <c r="CP166">
        <f t="shared" si="179"/>
        <v>2598.65</v>
      </c>
      <c r="CQ166">
        <f t="shared" si="180"/>
        <v>0</v>
      </c>
      <c r="CR166">
        <f t="shared" si="181"/>
        <v>0</v>
      </c>
      <c r="CS166">
        <f t="shared" si="182"/>
        <v>0</v>
      </c>
      <c r="CT166">
        <f t="shared" si="183"/>
        <v>2598.6488000000004</v>
      </c>
      <c r="CU166">
        <f t="shared" si="184"/>
        <v>0</v>
      </c>
      <c r="CV166">
        <f t="shared" si="185"/>
        <v>6.3</v>
      </c>
      <c r="CW166">
        <f t="shared" si="186"/>
        <v>0</v>
      </c>
      <c r="CX166">
        <f t="shared" si="187"/>
        <v>0</v>
      </c>
      <c r="CY166">
        <f t="shared" si="188"/>
        <v>1819.0549999999998</v>
      </c>
      <c r="CZ166">
        <f t="shared" si="189"/>
        <v>1065.4465</v>
      </c>
      <c r="DC166" t="s">
        <v>3</v>
      </c>
      <c r="DD166" t="s">
        <v>3</v>
      </c>
      <c r="DE166" t="s">
        <v>3</v>
      </c>
      <c r="DF166" t="s">
        <v>3</v>
      </c>
      <c r="DG166" t="s">
        <v>3</v>
      </c>
      <c r="DH166" t="s">
        <v>3</v>
      </c>
      <c r="DI166" t="s">
        <v>3</v>
      </c>
      <c r="DJ166" t="s">
        <v>3</v>
      </c>
      <c r="DK166" t="s">
        <v>3</v>
      </c>
      <c r="DL166" t="s">
        <v>3</v>
      </c>
      <c r="DM166" t="s">
        <v>3</v>
      </c>
      <c r="DN166">
        <v>75</v>
      </c>
      <c r="DO166">
        <v>70</v>
      </c>
      <c r="DP166">
        <v>1</v>
      </c>
      <c r="DQ166">
        <v>1</v>
      </c>
      <c r="DU166">
        <v>1013</v>
      </c>
      <c r="DV166" t="s">
        <v>49</v>
      </c>
      <c r="DW166" t="s">
        <v>49</v>
      </c>
      <c r="DX166">
        <v>1</v>
      </c>
      <c r="DZ166" t="s">
        <v>3</v>
      </c>
      <c r="EA166" t="s">
        <v>3</v>
      </c>
      <c r="EB166" t="s">
        <v>3</v>
      </c>
      <c r="EC166" t="s">
        <v>3</v>
      </c>
      <c r="EE166">
        <v>42063985</v>
      </c>
      <c r="EF166">
        <v>50</v>
      </c>
      <c r="EG166" t="s">
        <v>218</v>
      </c>
      <c r="EH166">
        <v>0</v>
      </c>
      <c r="EI166" t="s">
        <v>3</v>
      </c>
      <c r="EJ166">
        <v>4</v>
      </c>
      <c r="EK166">
        <v>381</v>
      </c>
      <c r="EL166" t="s">
        <v>223</v>
      </c>
      <c r="EM166" t="s">
        <v>224</v>
      </c>
      <c r="EO166" t="s">
        <v>3</v>
      </c>
      <c r="EQ166">
        <v>0</v>
      </c>
      <c r="ER166">
        <v>90.64</v>
      </c>
      <c r="ES166">
        <v>0</v>
      </c>
      <c r="ET166">
        <v>0</v>
      </c>
      <c r="EU166">
        <v>0</v>
      </c>
      <c r="EV166">
        <v>90.64</v>
      </c>
      <c r="EW166">
        <v>6.3</v>
      </c>
      <c r="EX166">
        <v>0</v>
      </c>
      <c r="EY166">
        <v>0</v>
      </c>
      <c r="FQ166">
        <v>0</v>
      </c>
      <c r="FR166">
        <f t="shared" si="190"/>
        <v>0</v>
      </c>
      <c r="FS166">
        <v>0</v>
      </c>
      <c r="FX166">
        <v>75</v>
      </c>
      <c r="FY166">
        <v>70</v>
      </c>
      <c r="GA166" t="s">
        <v>3</v>
      </c>
      <c r="GD166">
        <v>0</v>
      </c>
      <c r="GF166">
        <v>-427005509</v>
      </c>
      <c r="GG166">
        <v>2</v>
      </c>
      <c r="GH166">
        <v>1</v>
      </c>
      <c r="GI166">
        <v>2</v>
      </c>
      <c r="GJ166">
        <v>0</v>
      </c>
      <c r="GK166">
        <f>ROUND(R166*(R12)/100,2)</f>
        <v>0</v>
      </c>
      <c r="GL166">
        <f t="shared" si="191"/>
        <v>0</v>
      </c>
      <c r="GM166">
        <f t="shared" si="192"/>
        <v>5483.16</v>
      </c>
      <c r="GN166">
        <f t="shared" si="193"/>
        <v>0</v>
      </c>
      <c r="GO166">
        <f t="shared" si="194"/>
        <v>0</v>
      </c>
      <c r="GP166">
        <f t="shared" si="195"/>
        <v>5483.16</v>
      </c>
      <c r="GR166">
        <v>0</v>
      </c>
      <c r="GS166">
        <v>3</v>
      </c>
      <c r="GT166">
        <v>0</v>
      </c>
      <c r="GU166" t="s">
        <v>3</v>
      </c>
      <c r="GV166">
        <f t="shared" si="196"/>
        <v>0</v>
      </c>
      <c r="GW166">
        <v>1</v>
      </c>
      <c r="GX166">
        <f t="shared" si="197"/>
        <v>0</v>
      </c>
      <c r="HA166">
        <v>0</v>
      </c>
      <c r="HB166">
        <v>0</v>
      </c>
      <c r="HC166">
        <f t="shared" si="198"/>
        <v>0</v>
      </c>
      <c r="HE166" t="s">
        <v>3</v>
      </c>
      <c r="HF166" t="s">
        <v>3</v>
      </c>
      <c r="HM166" t="s">
        <v>3</v>
      </c>
      <c r="HN166" t="s">
        <v>3</v>
      </c>
      <c r="HO166" t="s">
        <v>3</v>
      </c>
      <c r="HP166" t="s">
        <v>3</v>
      </c>
      <c r="HQ166" t="s">
        <v>3</v>
      </c>
      <c r="IK166">
        <v>0</v>
      </c>
    </row>
    <row r="167" spans="1:245" x14ac:dyDescent="0.2">
      <c r="A167">
        <v>17</v>
      </c>
      <c r="B167">
        <v>1</v>
      </c>
      <c r="C167">
        <f>ROW(SmtRes!A58)</f>
        <v>58</v>
      </c>
      <c r="D167">
        <f>ROW(EtalonRes!A51)</f>
        <v>51</v>
      </c>
      <c r="E167" t="s">
        <v>237</v>
      </c>
      <c r="F167" t="s">
        <v>238</v>
      </c>
      <c r="G167" t="s">
        <v>239</v>
      </c>
      <c r="H167" t="s">
        <v>240</v>
      </c>
      <c r="I167">
        <v>1</v>
      </c>
      <c r="J167">
        <v>0</v>
      </c>
      <c r="K167">
        <v>1</v>
      </c>
      <c r="O167">
        <f t="shared" si="159"/>
        <v>3100.95</v>
      </c>
      <c r="P167">
        <f t="shared" si="160"/>
        <v>0</v>
      </c>
      <c r="Q167">
        <f t="shared" si="161"/>
        <v>0</v>
      </c>
      <c r="R167">
        <f t="shared" si="162"/>
        <v>0</v>
      </c>
      <c r="S167">
        <f t="shared" si="163"/>
        <v>3100.95</v>
      </c>
      <c r="T167">
        <f t="shared" si="164"/>
        <v>0</v>
      </c>
      <c r="U167">
        <f t="shared" si="165"/>
        <v>7.2</v>
      </c>
      <c r="V167">
        <f t="shared" si="166"/>
        <v>0</v>
      </c>
      <c r="W167">
        <f t="shared" si="167"/>
        <v>0</v>
      </c>
      <c r="X167">
        <f t="shared" si="168"/>
        <v>2170.67</v>
      </c>
      <c r="Y167">
        <f t="shared" si="169"/>
        <v>1271.3900000000001</v>
      </c>
      <c r="AA167">
        <v>59267179</v>
      </c>
      <c r="AB167">
        <f t="shared" si="170"/>
        <v>108.16</v>
      </c>
      <c r="AC167">
        <f t="shared" si="171"/>
        <v>0</v>
      </c>
      <c r="AD167">
        <f t="shared" si="172"/>
        <v>0</v>
      </c>
      <c r="AE167">
        <f t="shared" si="173"/>
        <v>0</v>
      </c>
      <c r="AF167">
        <f t="shared" si="174"/>
        <v>108.16</v>
      </c>
      <c r="AG167">
        <f t="shared" si="175"/>
        <v>0</v>
      </c>
      <c r="AH167">
        <f t="shared" si="176"/>
        <v>7.2</v>
      </c>
      <c r="AI167">
        <f t="shared" si="177"/>
        <v>0</v>
      </c>
      <c r="AJ167">
        <f t="shared" si="178"/>
        <v>0</v>
      </c>
      <c r="AK167">
        <v>108.16</v>
      </c>
      <c r="AL167">
        <v>0</v>
      </c>
      <c r="AM167">
        <v>0</v>
      </c>
      <c r="AN167">
        <v>0</v>
      </c>
      <c r="AO167">
        <v>108.16</v>
      </c>
      <c r="AP167">
        <v>0</v>
      </c>
      <c r="AQ167">
        <v>7.2</v>
      </c>
      <c r="AR167">
        <v>0</v>
      </c>
      <c r="AS167">
        <v>0</v>
      </c>
      <c r="AT167">
        <v>70</v>
      </c>
      <c r="AU167">
        <v>41</v>
      </c>
      <c r="AV167">
        <v>1</v>
      </c>
      <c r="AW167">
        <v>1</v>
      </c>
      <c r="AZ167">
        <v>1</v>
      </c>
      <c r="BA167">
        <v>28.67</v>
      </c>
      <c r="BB167">
        <v>1</v>
      </c>
      <c r="BC167">
        <v>1</v>
      </c>
      <c r="BD167" t="s">
        <v>3</v>
      </c>
      <c r="BE167" t="s">
        <v>3</v>
      </c>
      <c r="BF167" t="s">
        <v>3</v>
      </c>
      <c r="BG167" t="s">
        <v>3</v>
      </c>
      <c r="BH167">
        <v>0</v>
      </c>
      <c r="BI167">
        <v>4</v>
      </c>
      <c r="BJ167" t="s">
        <v>241</v>
      </c>
      <c r="BM167">
        <v>381</v>
      </c>
      <c r="BN167">
        <v>0</v>
      </c>
      <c r="BO167" t="s">
        <v>3</v>
      </c>
      <c r="BP167">
        <v>0</v>
      </c>
      <c r="BQ167">
        <v>50</v>
      </c>
      <c r="BR167">
        <v>0</v>
      </c>
      <c r="BS167">
        <v>28.67</v>
      </c>
      <c r="BT167">
        <v>1</v>
      </c>
      <c r="BU167">
        <v>1</v>
      </c>
      <c r="BV167">
        <v>1</v>
      </c>
      <c r="BW167">
        <v>1</v>
      </c>
      <c r="BX167">
        <v>1</v>
      </c>
      <c r="BY167" t="s">
        <v>3</v>
      </c>
      <c r="BZ167">
        <v>70</v>
      </c>
      <c r="CA167">
        <v>41</v>
      </c>
      <c r="CB167" t="s">
        <v>3</v>
      </c>
      <c r="CE167">
        <v>0</v>
      </c>
      <c r="CF167">
        <v>0</v>
      </c>
      <c r="CG167">
        <v>0</v>
      </c>
      <c r="CM167">
        <v>0</v>
      </c>
      <c r="CN167" t="s">
        <v>3</v>
      </c>
      <c r="CO167">
        <v>0</v>
      </c>
      <c r="CP167">
        <f t="shared" si="179"/>
        <v>3100.95</v>
      </c>
      <c r="CQ167">
        <f t="shared" si="180"/>
        <v>0</v>
      </c>
      <c r="CR167">
        <f t="shared" si="181"/>
        <v>0</v>
      </c>
      <c r="CS167">
        <f t="shared" si="182"/>
        <v>0</v>
      </c>
      <c r="CT167">
        <f t="shared" si="183"/>
        <v>3100.9472000000001</v>
      </c>
      <c r="CU167">
        <f t="shared" si="184"/>
        <v>0</v>
      </c>
      <c r="CV167">
        <f t="shared" si="185"/>
        <v>7.2</v>
      </c>
      <c r="CW167">
        <f t="shared" si="186"/>
        <v>0</v>
      </c>
      <c r="CX167">
        <f t="shared" si="187"/>
        <v>0</v>
      </c>
      <c r="CY167">
        <f t="shared" si="188"/>
        <v>2170.6649999999995</v>
      </c>
      <c r="CZ167">
        <f t="shared" si="189"/>
        <v>1271.3894999999998</v>
      </c>
      <c r="DC167" t="s">
        <v>3</v>
      </c>
      <c r="DD167" t="s">
        <v>3</v>
      </c>
      <c r="DE167" t="s">
        <v>3</v>
      </c>
      <c r="DF167" t="s">
        <v>3</v>
      </c>
      <c r="DG167" t="s">
        <v>3</v>
      </c>
      <c r="DH167" t="s">
        <v>3</v>
      </c>
      <c r="DI167" t="s">
        <v>3</v>
      </c>
      <c r="DJ167" t="s">
        <v>3</v>
      </c>
      <c r="DK167" t="s">
        <v>3</v>
      </c>
      <c r="DL167" t="s">
        <v>3</v>
      </c>
      <c r="DM167" t="s">
        <v>3</v>
      </c>
      <c r="DN167">
        <v>75</v>
      </c>
      <c r="DO167">
        <v>70</v>
      </c>
      <c r="DP167">
        <v>1</v>
      </c>
      <c r="DQ167">
        <v>1</v>
      </c>
      <c r="DU167">
        <v>1013</v>
      </c>
      <c r="DV167" t="s">
        <v>240</v>
      </c>
      <c r="DW167" t="s">
        <v>240</v>
      </c>
      <c r="DX167">
        <v>1</v>
      </c>
      <c r="DZ167" t="s">
        <v>3</v>
      </c>
      <c r="EA167" t="s">
        <v>3</v>
      </c>
      <c r="EB167" t="s">
        <v>3</v>
      </c>
      <c r="EC167" t="s">
        <v>3</v>
      </c>
      <c r="EE167">
        <v>42063985</v>
      </c>
      <c r="EF167">
        <v>50</v>
      </c>
      <c r="EG167" t="s">
        <v>218</v>
      </c>
      <c r="EH167">
        <v>0</v>
      </c>
      <c r="EI167" t="s">
        <v>3</v>
      </c>
      <c r="EJ167">
        <v>4</v>
      </c>
      <c r="EK167">
        <v>381</v>
      </c>
      <c r="EL167" t="s">
        <v>223</v>
      </c>
      <c r="EM167" t="s">
        <v>224</v>
      </c>
      <c r="EO167" t="s">
        <v>3</v>
      </c>
      <c r="EQ167">
        <v>0</v>
      </c>
      <c r="ER167">
        <v>108.16</v>
      </c>
      <c r="ES167">
        <v>0</v>
      </c>
      <c r="ET167">
        <v>0</v>
      </c>
      <c r="EU167">
        <v>0</v>
      </c>
      <c r="EV167">
        <v>108.16</v>
      </c>
      <c r="EW167">
        <v>7.2</v>
      </c>
      <c r="EX167">
        <v>0</v>
      </c>
      <c r="EY167">
        <v>0</v>
      </c>
      <c r="FQ167">
        <v>0</v>
      </c>
      <c r="FR167">
        <f t="shared" si="190"/>
        <v>0</v>
      </c>
      <c r="FS167">
        <v>0</v>
      </c>
      <c r="FX167">
        <v>75</v>
      </c>
      <c r="FY167">
        <v>70</v>
      </c>
      <c r="GA167" t="s">
        <v>3</v>
      </c>
      <c r="GD167">
        <v>0</v>
      </c>
      <c r="GF167">
        <v>-60235669</v>
      </c>
      <c r="GG167">
        <v>2</v>
      </c>
      <c r="GH167">
        <v>1</v>
      </c>
      <c r="GI167">
        <v>2</v>
      </c>
      <c r="GJ167">
        <v>0</v>
      </c>
      <c r="GK167">
        <f>ROUND(R167*(R12)/100,2)</f>
        <v>0</v>
      </c>
      <c r="GL167">
        <f t="shared" si="191"/>
        <v>0</v>
      </c>
      <c r="GM167">
        <f t="shared" si="192"/>
        <v>6543.01</v>
      </c>
      <c r="GN167">
        <f t="shared" si="193"/>
        <v>0</v>
      </c>
      <c r="GO167">
        <f t="shared" si="194"/>
        <v>0</v>
      </c>
      <c r="GP167">
        <f t="shared" si="195"/>
        <v>6543.01</v>
      </c>
      <c r="GR167">
        <v>0</v>
      </c>
      <c r="GS167">
        <v>3</v>
      </c>
      <c r="GT167">
        <v>0</v>
      </c>
      <c r="GU167" t="s">
        <v>3</v>
      </c>
      <c r="GV167">
        <f t="shared" si="196"/>
        <v>0</v>
      </c>
      <c r="GW167">
        <v>1</v>
      </c>
      <c r="GX167">
        <f t="shared" si="197"/>
        <v>0</v>
      </c>
      <c r="HA167">
        <v>0</v>
      </c>
      <c r="HB167">
        <v>0</v>
      </c>
      <c r="HC167">
        <f t="shared" si="198"/>
        <v>0</v>
      </c>
      <c r="HE167" t="s">
        <v>3</v>
      </c>
      <c r="HF167" t="s">
        <v>3</v>
      </c>
      <c r="HM167" t="s">
        <v>3</v>
      </c>
      <c r="HN167" t="s">
        <v>3</v>
      </c>
      <c r="HO167" t="s">
        <v>3</v>
      </c>
      <c r="HP167" t="s">
        <v>3</v>
      </c>
      <c r="HQ167" t="s">
        <v>3</v>
      </c>
      <c r="IK167">
        <v>0</v>
      </c>
    </row>
    <row r="168" spans="1:245" x14ac:dyDescent="0.2">
      <c r="A168">
        <v>17</v>
      </c>
      <c r="B168">
        <v>1</v>
      </c>
      <c r="C168">
        <f>ROW(SmtRes!A59)</f>
        <v>59</v>
      </c>
      <c r="D168">
        <f>ROW(EtalonRes!A52)</f>
        <v>52</v>
      </c>
      <c r="E168" t="s">
        <v>242</v>
      </c>
      <c r="F168" t="s">
        <v>243</v>
      </c>
      <c r="G168" t="s">
        <v>244</v>
      </c>
      <c r="H168" t="s">
        <v>240</v>
      </c>
      <c r="I168">
        <v>1</v>
      </c>
      <c r="J168">
        <v>0</v>
      </c>
      <c r="K168">
        <v>1</v>
      </c>
      <c r="O168">
        <f t="shared" si="159"/>
        <v>4306.8100000000004</v>
      </c>
      <c r="P168">
        <f t="shared" si="160"/>
        <v>0</v>
      </c>
      <c r="Q168">
        <f t="shared" si="161"/>
        <v>0</v>
      </c>
      <c r="R168">
        <f t="shared" si="162"/>
        <v>0</v>
      </c>
      <c r="S168">
        <f t="shared" si="163"/>
        <v>4306.8100000000004</v>
      </c>
      <c r="T168">
        <f t="shared" si="164"/>
        <v>0</v>
      </c>
      <c r="U168">
        <f t="shared" si="165"/>
        <v>10</v>
      </c>
      <c r="V168">
        <f t="shared" si="166"/>
        <v>0</v>
      </c>
      <c r="W168">
        <f t="shared" si="167"/>
        <v>0</v>
      </c>
      <c r="X168">
        <f t="shared" si="168"/>
        <v>3014.77</v>
      </c>
      <c r="Y168">
        <f t="shared" si="169"/>
        <v>1765.79</v>
      </c>
      <c r="AA168">
        <v>59267179</v>
      </c>
      <c r="AB168">
        <f t="shared" si="170"/>
        <v>150.22</v>
      </c>
      <c r="AC168">
        <f t="shared" si="171"/>
        <v>0</v>
      </c>
      <c r="AD168">
        <f t="shared" si="172"/>
        <v>0</v>
      </c>
      <c r="AE168">
        <f t="shared" si="173"/>
        <v>0</v>
      </c>
      <c r="AF168">
        <f t="shared" si="174"/>
        <v>150.22</v>
      </c>
      <c r="AG168">
        <f t="shared" si="175"/>
        <v>0</v>
      </c>
      <c r="AH168">
        <f t="shared" si="176"/>
        <v>10</v>
      </c>
      <c r="AI168">
        <f t="shared" si="177"/>
        <v>0</v>
      </c>
      <c r="AJ168">
        <f t="shared" si="178"/>
        <v>0</v>
      </c>
      <c r="AK168">
        <v>150.22</v>
      </c>
      <c r="AL168">
        <v>0</v>
      </c>
      <c r="AM168">
        <v>0</v>
      </c>
      <c r="AN168">
        <v>0</v>
      </c>
      <c r="AO168">
        <v>150.22</v>
      </c>
      <c r="AP168">
        <v>0</v>
      </c>
      <c r="AQ168">
        <v>10</v>
      </c>
      <c r="AR168">
        <v>0</v>
      </c>
      <c r="AS168">
        <v>0</v>
      </c>
      <c r="AT168">
        <v>70</v>
      </c>
      <c r="AU168">
        <v>41</v>
      </c>
      <c r="AV168">
        <v>1</v>
      </c>
      <c r="AW168">
        <v>1</v>
      </c>
      <c r="AZ168">
        <v>1</v>
      </c>
      <c r="BA168">
        <v>28.67</v>
      </c>
      <c r="BB168">
        <v>1</v>
      </c>
      <c r="BC168">
        <v>1</v>
      </c>
      <c r="BD168" t="s">
        <v>3</v>
      </c>
      <c r="BE168" t="s">
        <v>3</v>
      </c>
      <c r="BF168" t="s">
        <v>3</v>
      </c>
      <c r="BG168" t="s">
        <v>3</v>
      </c>
      <c r="BH168">
        <v>0</v>
      </c>
      <c r="BI168">
        <v>4</v>
      </c>
      <c r="BJ168" t="s">
        <v>245</v>
      </c>
      <c r="BM168">
        <v>381</v>
      </c>
      <c r="BN168">
        <v>0</v>
      </c>
      <c r="BO168" t="s">
        <v>3</v>
      </c>
      <c r="BP168">
        <v>0</v>
      </c>
      <c r="BQ168">
        <v>50</v>
      </c>
      <c r="BR168">
        <v>0</v>
      </c>
      <c r="BS168">
        <v>28.67</v>
      </c>
      <c r="BT168">
        <v>1</v>
      </c>
      <c r="BU168">
        <v>1</v>
      </c>
      <c r="BV168">
        <v>1</v>
      </c>
      <c r="BW168">
        <v>1</v>
      </c>
      <c r="BX168">
        <v>1</v>
      </c>
      <c r="BY168" t="s">
        <v>3</v>
      </c>
      <c r="BZ168">
        <v>70</v>
      </c>
      <c r="CA168">
        <v>41</v>
      </c>
      <c r="CB168" t="s">
        <v>3</v>
      </c>
      <c r="CE168">
        <v>0</v>
      </c>
      <c r="CF168">
        <v>0</v>
      </c>
      <c r="CG168">
        <v>0</v>
      </c>
      <c r="CM168">
        <v>0</v>
      </c>
      <c r="CN168" t="s">
        <v>3</v>
      </c>
      <c r="CO168">
        <v>0</v>
      </c>
      <c r="CP168">
        <f t="shared" si="179"/>
        <v>4306.8100000000004</v>
      </c>
      <c r="CQ168">
        <f t="shared" si="180"/>
        <v>0</v>
      </c>
      <c r="CR168">
        <f t="shared" si="181"/>
        <v>0</v>
      </c>
      <c r="CS168">
        <f t="shared" si="182"/>
        <v>0</v>
      </c>
      <c r="CT168">
        <f t="shared" si="183"/>
        <v>4306.8074000000006</v>
      </c>
      <c r="CU168">
        <f t="shared" si="184"/>
        <v>0</v>
      </c>
      <c r="CV168">
        <f t="shared" si="185"/>
        <v>10</v>
      </c>
      <c r="CW168">
        <f t="shared" si="186"/>
        <v>0</v>
      </c>
      <c r="CX168">
        <f t="shared" si="187"/>
        <v>0</v>
      </c>
      <c r="CY168">
        <f t="shared" si="188"/>
        <v>3014.7670000000003</v>
      </c>
      <c r="CZ168">
        <f t="shared" si="189"/>
        <v>1765.7921000000001</v>
      </c>
      <c r="DC168" t="s">
        <v>3</v>
      </c>
      <c r="DD168" t="s">
        <v>3</v>
      </c>
      <c r="DE168" t="s">
        <v>3</v>
      </c>
      <c r="DF168" t="s">
        <v>3</v>
      </c>
      <c r="DG168" t="s">
        <v>3</v>
      </c>
      <c r="DH168" t="s">
        <v>3</v>
      </c>
      <c r="DI168" t="s">
        <v>3</v>
      </c>
      <c r="DJ168" t="s">
        <v>3</v>
      </c>
      <c r="DK168" t="s">
        <v>3</v>
      </c>
      <c r="DL168" t="s">
        <v>3</v>
      </c>
      <c r="DM168" t="s">
        <v>3</v>
      </c>
      <c r="DN168">
        <v>75</v>
      </c>
      <c r="DO168">
        <v>70</v>
      </c>
      <c r="DP168">
        <v>1</v>
      </c>
      <c r="DQ168">
        <v>1</v>
      </c>
      <c r="DU168">
        <v>1013</v>
      </c>
      <c r="DV168" t="s">
        <v>240</v>
      </c>
      <c r="DW168" t="s">
        <v>240</v>
      </c>
      <c r="DX168">
        <v>1</v>
      </c>
      <c r="DZ168" t="s">
        <v>3</v>
      </c>
      <c r="EA168" t="s">
        <v>3</v>
      </c>
      <c r="EB168" t="s">
        <v>3</v>
      </c>
      <c r="EC168" t="s">
        <v>3</v>
      </c>
      <c r="EE168">
        <v>42063985</v>
      </c>
      <c r="EF168">
        <v>50</v>
      </c>
      <c r="EG168" t="s">
        <v>218</v>
      </c>
      <c r="EH168">
        <v>0</v>
      </c>
      <c r="EI168" t="s">
        <v>3</v>
      </c>
      <c r="EJ168">
        <v>4</v>
      </c>
      <c r="EK168">
        <v>381</v>
      </c>
      <c r="EL168" t="s">
        <v>223</v>
      </c>
      <c r="EM168" t="s">
        <v>224</v>
      </c>
      <c r="EO168" t="s">
        <v>3</v>
      </c>
      <c r="EQ168">
        <v>0</v>
      </c>
      <c r="ER168">
        <v>150.22</v>
      </c>
      <c r="ES168">
        <v>0</v>
      </c>
      <c r="ET168">
        <v>0</v>
      </c>
      <c r="EU168">
        <v>0</v>
      </c>
      <c r="EV168">
        <v>150.22</v>
      </c>
      <c r="EW168">
        <v>10</v>
      </c>
      <c r="EX168">
        <v>0</v>
      </c>
      <c r="EY168">
        <v>0</v>
      </c>
      <c r="FQ168">
        <v>0</v>
      </c>
      <c r="FR168">
        <f t="shared" si="190"/>
        <v>0</v>
      </c>
      <c r="FS168">
        <v>0</v>
      </c>
      <c r="FX168">
        <v>75</v>
      </c>
      <c r="FY168">
        <v>70</v>
      </c>
      <c r="GA168" t="s">
        <v>3</v>
      </c>
      <c r="GD168">
        <v>0</v>
      </c>
      <c r="GF168">
        <v>-822406886</v>
      </c>
      <c r="GG168">
        <v>2</v>
      </c>
      <c r="GH168">
        <v>1</v>
      </c>
      <c r="GI168">
        <v>2</v>
      </c>
      <c r="GJ168">
        <v>0</v>
      </c>
      <c r="GK168">
        <f>ROUND(R168*(R12)/100,2)</f>
        <v>0</v>
      </c>
      <c r="GL168">
        <f t="shared" si="191"/>
        <v>0</v>
      </c>
      <c r="GM168">
        <f t="shared" si="192"/>
        <v>9087.3700000000008</v>
      </c>
      <c r="GN168">
        <f t="shared" si="193"/>
        <v>0</v>
      </c>
      <c r="GO168">
        <f t="shared" si="194"/>
        <v>0</v>
      </c>
      <c r="GP168">
        <f t="shared" si="195"/>
        <v>9087.3700000000008</v>
      </c>
      <c r="GR168">
        <v>0</v>
      </c>
      <c r="GS168">
        <v>3</v>
      </c>
      <c r="GT168">
        <v>0</v>
      </c>
      <c r="GU168" t="s">
        <v>3</v>
      </c>
      <c r="GV168">
        <f t="shared" si="196"/>
        <v>0</v>
      </c>
      <c r="GW168">
        <v>1</v>
      </c>
      <c r="GX168">
        <f t="shared" si="197"/>
        <v>0</v>
      </c>
      <c r="HA168">
        <v>0</v>
      </c>
      <c r="HB168">
        <v>0</v>
      </c>
      <c r="HC168">
        <f t="shared" si="198"/>
        <v>0</v>
      </c>
      <c r="HE168" t="s">
        <v>3</v>
      </c>
      <c r="HF168" t="s">
        <v>3</v>
      </c>
      <c r="HM168" t="s">
        <v>3</v>
      </c>
      <c r="HN168" t="s">
        <v>3</v>
      </c>
      <c r="HO168" t="s">
        <v>3</v>
      </c>
      <c r="HP168" t="s">
        <v>3</v>
      </c>
      <c r="HQ168" t="s">
        <v>3</v>
      </c>
      <c r="IK168">
        <v>0</v>
      </c>
    </row>
    <row r="169" spans="1:245" x14ac:dyDescent="0.2">
      <c r="A169">
        <v>17</v>
      </c>
      <c r="B169">
        <v>1</v>
      </c>
      <c r="C169">
        <f>ROW(SmtRes!A60)</f>
        <v>60</v>
      </c>
      <c r="D169">
        <f>ROW(EtalonRes!A53)</f>
        <v>53</v>
      </c>
      <c r="E169" t="s">
        <v>246</v>
      </c>
      <c r="F169" t="s">
        <v>247</v>
      </c>
      <c r="G169" t="s">
        <v>248</v>
      </c>
      <c r="H169" t="s">
        <v>249</v>
      </c>
      <c r="I169">
        <v>2</v>
      </c>
      <c r="J169">
        <v>0</v>
      </c>
      <c r="K169">
        <v>2</v>
      </c>
      <c r="O169">
        <f t="shared" si="159"/>
        <v>2622.16</v>
      </c>
      <c r="P169">
        <f t="shared" si="160"/>
        <v>0</v>
      </c>
      <c r="Q169">
        <f t="shared" si="161"/>
        <v>0</v>
      </c>
      <c r="R169">
        <f t="shared" si="162"/>
        <v>0</v>
      </c>
      <c r="S169">
        <f t="shared" si="163"/>
        <v>2622.16</v>
      </c>
      <c r="T169">
        <f t="shared" si="164"/>
        <v>0</v>
      </c>
      <c r="U169">
        <f t="shared" si="165"/>
        <v>5.4</v>
      </c>
      <c r="V169">
        <f t="shared" si="166"/>
        <v>0</v>
      </c>
      <c r="W169">
        <f t="shared" si="167"/>
        <v>0</v>
      </c>
      <c r="X169">
        <f t="shared" si="168"/>
        <v>1835.51</v>
      </c>
      <c r="Y169">
        <f t="shared" si="169"/>
        <v>1075.0899999999999</v>
      </c>
      <c r="AA169">
        <v>59267179</v>
      </c>
      <c r="AB169">
        <f t="shared" si="170"/>
        <v>45.73</v>
      </c>
      <c r="AC169">
        <f t="shared" si="171"/>
        <v>0</v>
      </c>
      <c r="AD169">
        <f t="shared" si="172"/>
        <v>0</v>
      </c>
      <c r="AE169">
        <f t="shared" si="173"/>
        <v>0</v>
      </c>
      <c r="AF169">
        <f t="shared" si="174"/>
        <v>45.73</v>
      </c>
      <c r="AG169">
        <f t="shared" si="175"/>
        <v>0</v>
      </c>
      <c r="AH169">
        <f t="shared" si="176"/>
        <v>2.7</v>
      </c>
      <c r="AI169">
        <f t="shared" si="177"/>
        <v>0</v>
      </c>
      <c r="AJ169">
        <f t="shared" si="178"/>
        <v>0</v>
      </c>
      <c r="AK169">
        <v>45.73</v>
      </c>
      <c r="AL169">
        <v>0</v>
      </c>
      <c r="AM169">
        <v>0</v>
      </c>
      <c r="AN169">
        <v>0</v>
      </c>
      <c r="AO169">
        <v>45.73</v>
      </c>
      <c r="AP169">
        <v>0</v>
      </c>
      <c r="AQ169">
        <v>2.7</v>
      </c>
      <c r="AR169">
        <v>0</v>
      </c>
      <c r="AS169">
        <v>0</v>
      </c>
      <c r="AT169">
        <v>70</v>
      </c>
      <c r="AU169">
        <v>41</v>
      </c>
      <c r="AV169">
        <v>1</v>
      </c>
      <c r="AW169">
        <v>1</v>
      </c>
      <c r="AZ169">
        <v>1</v>
      </c>
      <c r="BA169">
        <v>28.67</v>
      </c>
      <c r="BB169">
        <v>1</v>
      </c>
      <c r="BC169">
        <v>1</v>
      </c>
      <c r="BD169" t="s">
        <v>3</v>
      </c>
      <c r="BE169" t="s">
        <v>3</v>
      </c>
      <c r="BF169" t="s">
        <v>3</v>
      </c>
      <c r="BG169" t="s">
        <v>3</v>
      </c>
      <c r="BH169">
        <v>0</v>
      </c>
      <c r="BI169">
        <v>4</v>
      </c>
      <c r="BJ169" t="s">
        <v>250</v>
      </c>
      <c r="BM169">
        <v>381</v>
      </c>
      <c r="BN169">
        <v>0</v>
      </c>
      <c r="BO169" t="s">
        <v>3</v>
      </c>
      <c r="BP169">
        <v>0</v>
      </c>
      <c r="BQ169">
        <v>50</v>
      </c>
      <c r="BR169">
        <v>0</v>
      </c>
      <c r="BS169">
        <v>28.67</v>
      </c>
      <c r="BT169">
        <v>1</v>
      </c>
      <c r="BU169">
        <v>1</v>
      </c>
      <c r="BV169">
        <v>1</v>
      </c>
      <c r="BW169">
        <v>1</v>
      </c>
      <c r="BX169">
        <v>1</v>
      </c>
      <c r="BY169" t="s">
        <v>3</v>
      </c>
      <c r="BZ169">
        <v>70</v>
      </c>
      <c r="CA169">
        <v>41</v>
      </c>
      <c r="CB169" t="s">
        <v>3</v>
      </c>
      <c r="CE169">
        <v>0</v>
      </c>
      <c r="CF169">
        <v>0</v>
      </c>
      <c r="CG169">
        <v>0</v>
      </c>
      <c r="CM169">
        <v>0</v>
      </c>
      <c r="CN169" t="s">
        <v>3</v>
      </c>
      <c r="CO169">
        <v>0</v>
      </c>
      <c r="CP169">
        <f t="shared" si="179"/>
        <v>2622.16</v>
      </c>
      <c r="CQ169">
        <f t="shared" si="180"/>
        <v>0</v>
      </c>
      <c r="CR169">
        <f t="shared" si="181"/>
        <v>0</v>
      </c>
      <c r="CS169">
        <f t="shared" si="182"/>
        <v>0</v>
      </c>
      <c r="CT169">
        <f t="shared" si="183"/>
        <v>1311.0790999999999</v>
      </c>
      <c r="CU169">
        <f t="shared" si="184"/>
        <v>0</v>
      </c>
      <c r="CV169">
        <f t="shared" si="185"/>
        <v>2.7</v>
      </c>
      <c r="CW169">
        <f t="shared" si="186"/>
        <v>0</v>
      </c>
      <c r="CX169">
        <f t="shared" si="187"/>
        <v>0</v>
      </c>
      <c r="CY169">
        <f t="shared" si="188"/>
        <v>1835.5119999999997</v>
      </c>
      <c r="CZ169">
        <f t="shared" si="189"/>
        <v>1075.0855999999999</v>
      </c>
      <c r="DC169" t="s">
        <v>3</v>
      </c>
      <c r="DD169" t="s">
        <v>3</v>
      </c>
      <c r="DE169" t="s">
        <v>3</v>
      </c>
      <c r="DF169" t="s">
        <v>3</v>
      </c>
      <c r="DG169" t="s">
        <v>3</v>
      </c>
      <c r="DH169" t="s">
        <v>3</v>
      </c>
      <c r="DI169" t="s">
        <v>3</v>
      </c>
      <c r="DJ169" t="s">
        <v>3</v>
      </c>
      <c r="DK169" t="s">
        <v>3</v>
      </c>
      <c r="DL169" t="s">
        <v>3</v>
      </c>
      <c r="DM169" t="s">
        <v>3</v>
      </c>
      <c r="DN169">
        <v>75</v>
      </c>
      <c r="DO169">
        <v>70</v>
      </c>
      <c r="DP169">
        <v>1</v>
      </c>
      <c r="DQ169">
        <v>1</v>
      </c>
      <c r="DU169">
        <v>1013</v>
      </c>
      <c r="DV169" t="s">
        <v>249</v>
      </c>
      <c r="DW169" t="s">
        <v>249</v>
      </c>
      <c r="DX169">
        <v>1</v>
      </c>
      <c r="DZ169" t="s">
        <v>3</v>
      </c>
      <c r="EA169" t="s">
        <v>3</v>
      </c>
      <c r="EB169" t="s">
        <v>3</v>
      </c>
      <c r="EC169" t="s">
        <v>3</v>
      </c>
      <c r="EE169">
        <v>42063985</v>
      </c>
      <c r="EF169">
        <v>50</v>
      </c>
      <c r="EG169" t="s">
        <v>218</v>
      </c>
      <c r="EH169">
        <v>0</v>
      </c>
      <c r="EI169" t="s">
        <v>3</v>
      </c>
      <c r="EJ169">
        <v>4</v>
      </c>
      <c r="EK169">
        <v>381</v>
      </c>
      <c r="EL169" t="s">
        <v>223</v>
      </c>
      <c r="EM169" t="s">
        <v>224</v>
      </c>
      <c r="EO169" t="s">
        <v>3</v>
      </c>
      <c r="EQ169">
        <v>0</v>
      </c>
      <c r="ER169">
        <v>45.73</v>
      </c>
      <c r="ES169">
        <v>0</v>
      </c>
      <c r="ET169">
        <v>0</v>
      </c>
      <c r="EU169">
        <v>0</v>
      </c>
      <c r="EV169">
        <v>45.73</v>
      </c>
      <c r="EW169">
        <v>2.7</v>
      </c>
      <c r="EX169">
        <v>0</v>
      </c>
      <c r="EY169">
        <v>0</v>
      </c>
      <c r="FQ169">
        <v>0</v>
      </c>
      <c r="FR169">
        <f t="shared" si="190"/>
        <v>0</v>
      </c>
      <c r="FS169">
        <v>0</v>
      </c>
      <c r="FX169">
        <v>75</v>
      </c>
      <c r="FY169">
        <v>70</v>
      </c>
      <c r="GA169" t="s">
        <v>3</v>
      </c>
      <c r="GD169">
        <v>0</v>
      </c>
      <c r="GF169">
        <v>-727875752</v>
      </c>
      <c r="GG169">
        <v>2</v>
      </c>
      <c r="GH169">
        <v>1</v>
      </c>
      <c r="GI169">
        <v>2</v>
      </c>
      <c r="GJ169">
        <v>0</v>
      </c>
      <c r="GK169">
        <f>ROUND(R169*(R12)/100,2)</f>
        <v>0</v>
      </c>
      <c r="GL169">
        <f t="shared" si="191"/>
        <v>0</v>
      </c>
      <c r="GM169">
        <f t="shared" si="192"/>
        <v>5532.76</v>
      </c>
      <c r="GN169">
        <f t="shared" si="193"/>
        <v>0</v>
      </c>
      <c r="GO169">
        <f t="shared" si="194"/>
        <v>0</v>
      </c>
      <c r="GP169">
        <f t="shared" si="195"/>
        <v>5532.76</v>
      </c>
      <c r="GR169">
        <v>0</v>
      </c>
      <c r="GS169">
        <v>3</v>
      </c>
      <c r="GT169">
        <v>0</v>
      </c>
      <c r="GU169" t="s">
        <v>3</v>
      </c>
      <c r="GV169">
        <f t="shared" si="196"/>
        <v>0</v>
      </c>
      <c r="GW169">
        <v>1</v>
      </c>
      <c r="GX169">
        <f t="shared" si="197"/>
        <v>0</v>
      </c>
      <c r="HA169">
        <v>0</v>
      </c>
      <c r="HB169">
        <v>0</v>
      </c>
      <c r="HC169">
        <f t="shared" si="198"/>
        <v>0</v>
      </c>
      <c r="HE169" t="s">
        <v>3</v>
      </c>
      <c r="HF169" t="s">
        <v>3</v>
      </c>
      <c r="HM169" t="s">
        <v>3</v>
      </c>
      <c r="HN169" t="s">
        <v>3</v>
      </c>
      <c r="HO169" t="s">
        <v>3</v>
      </c>
      <c r="HP169" t="s">
        <v>3</v>
      </c>
      <c r="HQ169" t="s">
        <v>3</v>
      </c>
      <c r="IK169">
        <v>0</v>
      </c>
    </row>
    <row r="170" spans="1:245" x14ac:dyDescent="0.2">
      <c r="A170">
        <v>17</v>
      </c>
      <c r="B170">
        <v>1</v>
      </c>
      <c r="C170">
        <f>ROW(SmtRes!A61)</f>
        <v>61</v>
      </c>
      <c r="D170">
        <f>ROW(EtalonRes!A54)</f>
        <v>54</v>
      </c>
      <c r="E170" t="s">
        <v>251</v>
      </c>
      <c r="F170" t="s">
        <v>252</v>
      </c>
      <c r="G170" t="s">
        <v>253</v>
      </c>
      <c r="H170" t="s">
        <v>49</v>
      </c>
      <c r="I170">
        <v>3</v>
      </c>
      <c r="J170">
        <v>0</v>
      </c>
      <c r="K170">
        <v>3</v>
      </c>
      <c r="O170">
        <f t="shared" si="159"/>
        <v>30347.77</v>
      </c>
      <c r="P170">
        <f t="shared" si="160"/>
        <v>0</v>
      </c>
      <c r="Q170">
        <f t="shared" si="161"/>
        <v>0</v>
      </c>
      <c r="R170">
        <f t="shared" si="162"/>
        <v>0</v>
      </c>
      <c r="S170">
        <f t="shared" si="163"/>
        <v>30347.77</v>
      </c>
      <c r="T170">
        <f t="shared" si="164"/>
        <v>0</v>
      </c>
      <c r="U170">
        <f t="shared" si="165"/>
        <v>66</v>
      </c>
      <c r="V170">
        <f t="shared" si="166"/>
        <v>0</v>
      </c>
      <c r="W170">
        <f t="shared" si="167"/>
        <v>0</v>
      </c>
      <c r="X170">
        <f t="shared" si="168"/>
        <v>21243.439999999999</v>
      </c>
      <c r="Y170">
        <f t="shared" si="169"/>
        <v>12442.59</v>
      </c>
      <c r="AA170">
        <v>59267179</v>
      </c>
      <c r="AB170">
        <f t="shared" si="170"/>
        <v>352.84</v>
      </c>
      <c r="AC170">
        <f t="shared" si="171"/>
        <v>0</v>
      </c>
      <c r="AD170">
        <f t="shared" si="172"/>
        <v>0</v>
      </c>
      <c r="AE170">
        <f t="shared" si="173"/>
        <v>0</v>
      </c>
      <c r="AF170">
        <f t="shared" si="174"/>
        <v>352.84</v>
      </c>
      <c r="AG170">
        <f t="shared" si="175"/>
        <v>0</v>
      </c>
      <c r="AH170">
        <f t="shared" si="176"/>
        <v>22</v>
      </c>
      <c r="AI170">
        <f t="shared" si="177"/>
        <v>0</v>
      </c>
      <c r="AJ170">
        <f t="shared" si="178"/>
        <v>0</v>
      </c>
      <c r="AK170">
        <v>352.84</v>
      </c>
      <c r="AL170">
        <v>0</v>
      </c>
      <c r="AM170">
        <v>0</v>
      </c>
      <c r="AN170">
        <v>0</v>
      </c>
      <c r="AO170">
        <v>352.84</v>
      </c>
      <c r="AP170">
        <v>0</v>
      </c>
      <c r="AQ170">
        <v>22</v>
      </c>
      <c r="AR170">
        <v>0</v>
      </c>
      <c r="AS170">
        <v>0</v>
      </c>
      <c r="AT170">
        <v>70</v>
      </c>
      <c r="AU170">
        <v>41</v>
      </c>
      <c r="AV170">
        <v>1</v>
      </c>
      <c r="AW170">
        <v>1</v>
      </c>
      <c r="AZ170">
        <v>1</v>
      </c>
      <c r="BA170">
        <v>28.67</v>
      </c>
      <c r="BB170">
        <v>1</v>
      </c>
      <c r="BC170">
        <v>1</v>
      </c>
      <c r="BD170" t="s">
        <v>3</v>
      </c>
      <c r="BE170" t="s">
        <v>3</v>
      </c>
      <c r="BF170" t="s">
        <v>3</v>
      </c>
      <c r="BG170" t="s">
        <v>3</v>
      </c>
      <c r="BH170">
        <v>0</v>
      </c>
      <c r="BI170">
        <v>4</v>
      </c>
      <c r="BJ170" t="s">
        <v>254</v>
      </c>
      <c r="BM170">
        <v>381</v>
      </c>
      <c r="BN170">
        <v>0</v>
      </c>
      <c r="BO170" t="s">
        <v>3</v>
      </c>
      <c r="BP170">
        <v>0</v>
      </c>
      <c r="BQ170">
        <v>50</v>
      </c>
      <c r="BR170">
        <v>0</v>
      </c>
      <c r="BS170">
        <v>28.67</v>
      </c>
      <c r="BT170">
        <v>1</v>
      </c>
      <c r="BU170">
        <v>1</v>
      </c>
      <c r="BV170">
        <v>1</v>
      </c>
      <c r="BW170">
        <v>1</v>
      </c>
      <c r="BX170">
        <v>1</v>
      </c>
      <c r="BY170" t="s">
        <v>3</v>
      </c>
      <c r="BZ170">
        <v>70</v>
      </c>
      <c r="CA170">
        <v>41</v>
      </c>
      <c r="CB170" t="s">
        <v>3</v>
      </c>
      <c r="CE170">
        <v>0</v>
      </c>
      <c r="CF170">
        <v>0</v>
      </c>
      <c r="CG170">
        <v>0</v>
      </c>
      <c r="CM170">
        <v>0</v>
      </c>
      <c r="CN170" t="s">
        <v>3</v>
      </c>
      <c r="CO170">
        <v>0</v>
      </c>
      <c r="CP170">
        <f t="shared" si="179"/>
        <v>30347.77</v>
      </c>
      <c r="CQ170">
        <f t="shared" si="180"/>
        <v>0</v>
      </c>
      <c r="CR170">
        <f t="shared" si="181"/>
        <v>0</v>
      </c>
      <c r="CS170">
        <f t="shared" si="182"/>
        <v>0</v>
      </c>
      <c r="CT170">
        <f t="shared" si="183"/>
        <v>10115.9228</v>
      </c>
      <c r="CU170">
        <f t="shared" si="184"/>
        <v>0</v>
      </c>
      <c r="CV170">
        <f t="shared" si="185"/>
        <v>22</v>
      </c>
      <c r="CW170">
        <f t="shared" si="186"/>
        <v>0</v>
      </c>
      <c r="CX170">
        <f t="shared" si="187"/>
        <v>0</v>
      </c>
      <c r="CY170">
        <f t="shared" si="188"/>
        <v>21243.438999999998</v>
      </c>
      <c r="CZ170">
        <f t="shared" si="189"/>
        <v>12442.5857</v>
      </c>
      <c r="DC170" t="s">
        <v>3</v>
      </c>
      <c r="DD170" t="s">
        <v>3</v>
      </c>
      <c r="DE170" t="s">
        <v>3</v>
      </c>
      <c r="DF170" t="s">
        <v>3</v>
      </c>
      <c r="DG170" t="s">
        <v>3</v>
      </c>
      <c r="DH170" t="s">
        <v>3</v>
      </c>
      <c r="DI170" t="s">
        <v>3</v>
      </c>
      <c r="DJ170" t="s">
        <v>3</v>
      </c>
      <c r="DK170" t="s">
        <v>3</v>
      </c>
      <c r="DL170" t="s">
        <v>3</v>
      </c>
      <c r="DM170" t="s">
        <v>3</v>
      </c>
      <c r="DN170">
        <v>75</v>
      </c>
      <c r="DO170">
        <v>70</v>
      </c>
      <c r="DP170">
        <v>1</v>
      </c>
      <c r="DQ170">
        <v>1</v>
      </c>
      <c r="DU170">
        <v>1013</v>
      </c>
      <c r="DV170" t="s">
        <v>49</v>
      </c>
      <c r="DW170" t="s">
        <v>49</v>
      </c>
      <c r="DX170">
        <v>1</v>
      </c>
      <c r="DZ170" t="s">
        <v>3</v>
      </c>
      <c r="EA170" t="s">
        <v>3</v>
      </c>
      <c r="EB170" t="s">
        <v>3</v>
      </c>
      <c r="EC170" t="s">
        <v>3</v>
      </c>
      <c r="EE170">
        <v>42063985</v>
      </c>
      <c r="EF170">
        <v>50</v>
      </c>
      <c r="EG170" t="s">
        <v>218</v>
      </c>
      <c r="EH170">
        <v>0</v>
      </c>
      <c r="EI170" t="s">
        <v>3</v>
      </c>
      <c r="EJ170">
        <v>4</v>
      </c>
      <c r="EK170">
        <v>381</v>
      </c>
      <c r="EL170" t="s">
        <v>223</v>
      </c>
      <c r="EM170" t="s">
        <v>224</v>
      </c>
      <c r="EO170" t="s">
        <v>3</v>
      </c>
      <c r="EQ170">
        <v>0</v>
      </c>
      <c r="ER170">
        <v>352.84</v>
      </c>
      <c r="ES170">
        <v>0</v>
      </c>
      <c r="ET170">
        <v>0</v>
      </c>
      <c r="EU170">
        <v>0</v>
      </c>
      <c r="EV170">
        <v>352.84</v>
      </c>
      <c r="EW170">
        <v>22</v>
      </c>
      <c r="EX170">
        <v>0</v>
      </c>
      <c r="EY170">
        <v>0</v>
      </c>
      <c r="FQ170">
        <v>0</v>
      </c>
      <c r="FR170">
        <f t="shared" si="190"/>
        <v>0</v>
      </c>
      <c r="FS170">
        <v>0</v>
      </c>
      <c r="FX170">
        <v>75</v>
      </c>
      <c r="FY170">
        <v>70</v>
      </c>
      <c r="GA170" t="s">
        <v>3</v>
      </c>
      <c r="GD170">
        <v>0</v>
      </c>
      <c r="GF170">
        <v>1128626464</v>
      </c>
      <c r="GG170">
        <v>2</v>
      </c>
      <c r="GH170">
        <v>1</v>
      </c>
      <c r="GI170">
        <v>2</v>
      </c>
      <c r="GJ170">
        <v>0</v>
      </c>
      <c r="GK170">
        <f>ROUND(R170*(R12)/100,2)</f>
        <v>0</v>
      </c>
      <c r="GL170">
        <f t="shared" si="191"/>
        <v>0</v>
      </c>
      <c r="GM170">
        <f t="shared" si="192"/>
        <v>64033.8</v>
      </c>
      <c r="GN170">
        <f t="shared" si="193"/>
        <v>0</v>
      </c>
      <c r="GO170">
        <f t="shared" si="194"/>
        <v>0</v>
      </c>
      <c r="GP170">
        <f t="shared" si="195"/>
        <v>64033.8</v>
      </c>
      <c r="GR170">
        <v>0</v>
      </c>
      <c r="GS170">
        <v>3</v>
      </c>
      <c r="GT170">
        <v>0</v>
      </c>
      <c r="GU170" t="s">
        <v>3</v>
      </c>
      <c r="GV170">
        <f t="shared" si="196"/>
        <v>0</v>
      </c>
      <c r="GW170">
        <v>1</v>
      </c>
      <c r="GX170">
        <f t="shared" si="197"/>
        <v>0</v>
      </c>
      <c r="HA170">
        <v>0</v>
      </c>
      <c r="HB170">
        <v>0</v>
      </c>
      <c r="HC170">
        <f t="shared" si="198"/>
        <v>0</v>
      </c>
      <c r="HE170" t="s">
        <v>3</v>
      </c>
      <c r="HF170" t="s">
        <v>3</v>
      </c>
      <c r="HM170" t="s">
        <v>3</v>
      </c>
      <c r="HN170" t="s">
        <v>3</v>
      </c>
      <c r="HO170" t="s">
        <v>3</v>
      </c>
      <c r="HP170" t="s">
        <v>3</v>
      </c>
      <c r="HQ170" t="s">
        <v>3</v>
      </c>
      <c r="IK170">
        <v>0</v>
      </c>
    </row>
    <row r="171" spans="1:245" x14ac:dyDescent="0.2">
      <c r="A171">
        <v>17</v>
      </c>
      <c r="B171">
        <v>1</v>
      </c>
      <c r="C171">
        <f>ROW(SmtRes!A62)</f>
        <v>62</v>
      </c>
      <c r="D171">
        <f>ROW(EtalonRes!A55)</f>
        <v>55</v>
      </c>
      <c r="E171" t="s">
        <v>255</v>
      </c>
      <c r="F171" t="s">
        <v>256</v>
      </c>
      <c r="G171" t="s">
        <v>257</v>
      </c>
      <c r="H171" t="s">
        <v>49</v>
      </c>
      <c r="I171">
        <v>2</v>
      </c>
      <c r="J171">
        <v>0</v>
      </c>
      <c r="K171">
        <v>2</v>
      </c>
      <c r="O171">
        <f t="shared" si="159"/>
        <v>7449.04</v>
      </c>
      <c r="P171">
        <f t="shared" si="160"/>
        <v>0</v>
      </c>
      <c r="Q171">
        <f t="shared" si="161"/>
        <v>0</v>
      </c>
      <c r="R171">
        <f t="shared" si="162"/>
        <v>0</v>
      </c>
      <c r="S171">
        <f t="shared" si="163"/>
        <v>7449.04</v>
      </c>
      <c r="T171">
        <f t="shared" si="164"/>
        <v>0</v>
      </c>
      <c r="U171">
        <f t="shared" si="165"/>
        <v>16.2</v>
      </c>
      <c r="V171">
        <f t="shared" si="166"/>
        <v>0</v>
      </c>
      <c r="W171">
        <f t="shared" si="167"/>
        <v>0</v>
      </c>
      <c r="X171">
        <f t="shared" si="168"/>
        <v>5214.33</v>
      </c>
      <c r="Y171">
        <f t="shared" si="169"/>
        <v>3054.11</v>
      </c>
      <c r="AA171">
        <v>59267179</v>
      </c>
      <c r="AB171">
        <f t="shared" si="170"/>
        <v>129.91</v>
      </c>
      <c r="AC171">
        <f t="shared" si="171"/>
        <v>0</v>
      </c>
      <c r="AD171">
        <f t="shared" si="172"/>
        <v>0</v>
      </c>
      <c r="AE171">
        <f t="shared" si="173"/>
        <v>0</v>
      </c>
      <c r="AF171">
        <f t="shared" si="174"/>
        <v>129.91</v>
      </c>
      <c r="AG171">
        <f t="shared" si="175"/>
        <v>0</v>
      </c>
      <c r="AH171">
        <f t="shared" si="176"/>
        <v>8.1</v>
      </c>
      <c r="AI171">
        <f t="shared" si="177"/>
        <v>0</v>
      </c>
      <c r="AJ171">
        <f t="shared" si="178"/>
        <v>0</v>
      </c>
      <c r="AK171">
        <v>129.91</v>
      </c>
      <c r="AL171">
        <v>0</v>
      </c>
      <c r="AM171">
        <v>0</v>
      </c>
      <c r="AN171">
        <v>0</v>
      </c>
      <c r="AO171">
        <v>129.91</v>
      </c>
      <c r="AP171">
        <v>0</v>
      </c>
      <c r="AQ171">
        <v>8.1</v>
      </c>
      <c r="AR171">
        <v>0</v>
      </c>
      <c r="AS171">
        <v>0</v>
      </c>
      <c r="AT171">
        <v>70</v>
      </c>
      <c r="AU171">
        <v>41</v>
      </c>
      <c r="AV171">
        <v>1</v>
      </c>
      <c r="AW171">
        <v>1</v>
      </c>
      <c r="AZ171">
        <v>1</v>
      </c>
      <c r="BA171">
        <v>28.67</v>
      </c>
      <c r="BB171">
        <v>1</v>
      </c>
      <c r="BC171">
        <v>1</v>
      </c>
      <c r="BD171" t="s">
        <v>3</v>
      </c>
      <c r="BE171" t="s">
        <v>3</v>
      </c>
      <c r="BF171" t="s">
        <v>3</v>
      </c>
      <c r="BG171" t="s">
        <v>3</v>
      </c>
      <c r="BH171">
        <v>0</v>
      </c>
      <c r="BI171">
        <v>4</v>
      </c>
      <c r="BJ171" t="s">
        <v>258</v>
      </c>
      <c r="BM171">
        <v>381</v>
      </c>
      <c r="BN171">
        <v>0</v>
      </c>
      <c r="BO171" t="s">
        <v>3</v>
      </c>
      <c r="BP171">
        <v>0</v>
      </c>
      <c r="BQ171">
        <v>50</v>
      </c>
      <c r="BR171">
        <v>0</v>
      </c>
      <c r="BS171">
        <v>28.67</v>
      </c>
      <c r="BT171">
        <v>1</v>
      </c>
      <c r="BU171">
        <v>1</v>
      </c>
      <c r="BV171">
        <v>1</v>
      </c>
      <c r="BW171">
        <v>1</v>
      </c>
      <c r="BX171">
        <v>1</v>
      </c>
      <c r="BY171" t="s">
        <v>3</v>
      </c>
      <c r="BZ171">
        <v>70</v>
      </c>
      <c r="CA171">
        <v>41</v>
      </c>
      <c r="CB171" t="s">
        <v>3</v>
      </c>
      <c r="CE171">
        <v>0</v>
      </c>
      <c r="CF171">
        <v>0</v>
      </c>
      <c r="CG171">
        <v>0</v>
      </c>
      <c r="CM171">
        <v>0</v>
      </c>
      <c r="CN171" t="s">
        <v>3</v>
      </c>
      <c r="CO171">
        <v>0</v>
      </c>
      <c r="CP171">
        <f t="shared" si="179"/>
        <v>7449.04</v>
      </c>
      <c r="CQ171">
        <f t="shared" si="180"/>
        <v>0</v>
      </c>
      <c r="CR171">
        <f t="shared" si="181"/>
        <v>0</v>
      </c>
      <c r="CS171">
        <f t="shared" si="182"/>
        <v>0</v>
      </c>
      <c r="CT171">
        <f t="shared" si="183"/>
        <v>3724.5197000000003</v>
      </c>
      <c r="CU171">
        <f t="shared" si="184"/>
        <v>0</v>
      </c>
      <c r="CV171">
        <f t="shared" si="185"/>
        <v>8.1</v>
      </c>
      <c r="CW171">
        <f t="shared" si="186"/>
        <v>0</v>
      </c>
      <c r="CX171">
        <f t="shared" si="187"/>
        <v>0</v>
      </c>
      <c r="CY171">
        <f t="shared" si="188"/>
        <v>5214.3279999999995</v>
      </c>
      <c r="CZ171">
        <f t="shared" si="189"/>
        <v>3054.1063999999997</v>
      </c>
      <c r="DC171" t="s">
        <v>3</v>
      </c>
      <c r="DD171" t="s">
        <v>3</v>
      </c>
      <c r="DE171" t="s">
        <v>3</v>
      </c>
      <c r="DF171" t="s">
        <v>3</v>
      </c>
      <c r="DG171" t="s">
        <v>3</v>
      </c>
      <c r="DH171" t="s">
        <v>3</v>
      </c>
      <c r="DI171" t="s">
        <v>3</v>
      </c>
      <c r="DJ171" t="s">
        <v>3</v>
      </c>
      <c r="DK171" t="s">
        <v>3</v>
      </c>
      <c r="DL171" t="s">
        <v>3</v>
      </c>
      <c r="DM171" t="s">
        <v>3</v>
      </c>
      <c r="DN171">
        <v>75</v>
      </c>
      <c r="DO171">
        <v>70</v>
      </c>
      <c r="DP171">
        <v>1</v>
      </c>
      <c r="DQ171">
        <v>1</v>
      </c>
      <c r="DU171">
        <v>1013</v>
      </c>
      <c r="DV171" t="s">
        <v>49</v>
      </c>
      <c r="DW171" t="s">
        <v>49</v>
      </c>
      <c r="DX171">
        <v>1</v>
      </c>
      <c r="DZ171" t="s">
        <v>3</v>
      </c>
      <c r="EA171" t="s">
        <v>3</v>
      </c>
      <c r="EB171" t="s">
        <v>3</v>
      </c>
      <c r="EC171" t="s">
        <v>3</v>
      </c>
      <c r="EE171">
        <v>42063985</v>
      </c>
      <c r="EF171">
        <v>50</v>
      </c>
      <c r="EG171" t="s">
        <v>218</v>
      </c>
      <c r="EH171">
        <v>0</v>
      </c>
      <c r="EI171" t="s">
        <v>3</v>
      </c>
      <c r="EJ171">
        <v>4</v>
      </c>
      <c r="EK171">
        <v>381</v>
      </c>
      <c r="EL171" t="s">
        <v>223</v>
      </c>
      <c r="EM171" t="s">
        <v>224</v>
      </c>
      <c r="EO171" t="s">
        <v>3</v>
      </c>
      <c r="EQ171">
        <v>0</v>
      </c>
      <c r="ER171">
        <v>129.91</v>
      </c>
      <c r="ES171">
        <v>0</v>
      </c>
      <c r="ET171">
        <v>0</v>
      </c>
      <c r="EU171">
        <v>0</v>
      </c>
      <c r="EV171">
        <v>129.91</v>
      </c>
      <c r="EW171">
        <v>8.1</v>
      </c>
      <c r="EX171">
        <v>0</v>
      </c>
      <c r="EY171">
        <v>0</v>
      </c>
      <c r="FQ171">
        <v>0</v>
      </c>
      <c r="FR171">
        <f t="shared" si="190"/>
        <v>0</v>
      </c>
      <c r="FS171">
        <v>0</v>
      </c>
      <c r="FX171">
        <v>75</v>
      </c>
      <c r="FY171">
        <v>70</v>
      </c>
      <c r="GA171" t="s">
        <v>3</v>
      </c>
      <c r="GD171">
        <v>0</v>
      </c>
      <c r="GF171">
        <v>1743672779</v>
      </c>
      <c r="GG171">
        <v>2</v>
      </c>
      <c r="GH171">
        <v>1</v>
      </c>
      <c r="GI171">
        <v>2</v>
      </c>
      <c r="GJ171">
        <v>0</v>
      </c>
      <c r="GK171">
        <f>ROUND(R171*(R12)/100,2)</f>
        <v>0</v>
      </c>
      <c r="GL171">
        <f t="shared" si="191"/>
        <v>0</v>
      </c>
      <c r="GM171">
        <f t="shared" si="192"/>
        <v>15717.48</v>
      </c>
      <c r="GN171">
        <f t="shared" si="193"/>
        <v>0</v>
      </c>
      <c r="GO171">
        <f t="shared" si="194"/>
        <v>0</v>
      </c>
      <c r="GP171">
        <f t="shared" si="195"/>
        <v>15717.48</v>
      </c>
      <c r="GR171">
        <v>0</v>
      </c>
      <c r="GS171">
        <v>3</v>
      </c>
      <c r="GT171">
        <v>0</v>
      </c>
      <c r="GU171" t="s">
        <v>3</v>
      </c>
      <c r="GV171">
        <f t="shared" si="196"/>
        <v>0</v>
      </c>
      <c r="GW171">
        <v>1</v>
      </c>
      <c r="GX171">
        <f t="shared" si="197"/>
        <v>0</v>
      </c>
      <c r="HA171">
        <v>0</v>
      </c>
      <c r="HB171">
        <v>0</v>
      </c>
      <c r="HC171">
        <f t="shared" si="198"/>
        <v>0</v>
      </c>
      <c r="HE171" t="s">
        <v>3</v>
      </c>
      <c r="HF171" t="s">
        <v>3</v>
      </c>
      <c r="HM171" t="s">
        <v>3</v>
      </c>
      <c r="HN171" t="s">
        <v>3</v>
      </c>
      <c r="HO171" t="s">
        <v>3</v>
      </c>
      <c r="HP171" t="s">
        <v>3</v>
      </c>
      <c r="HQ171" t="s">
        <v>3</v>
      </c>
      <c r="IK171">
        <v>0</v>
      </c>
    </row>
    <row r="172" spans="1:245" x14ac:dyDescent="0.2">
      <c r="A172">
        <v>17</v>
      </c>
      <c r="B172">
        <v>1</v>
      </c>
      <c r="C172">
        <f>ROW(SmtRes!A63)</f>
        <v>63</v>
      </c>
      <c r="D172">
        <f>ROW(EtalonRes!A56)</f>
        <v>56</v>
      </c>
      <c r="E172" t="s">
        <v>259</v>
      </c>
      <c r="F172" t="s">
        <v>260</v>
      </c>
      <c r="G172" t="s">
        <v>261</v>
      </c>
      <c r="H172" t="s">
        <v>262</v>
      </c>
      <c r="I172">
        <v>3</v>
      </c>
      <c r="J172">
        <v>0</v>
      </c>
      <c r="K172">
        <v>3</v>
      </c>
      <c r="O172">
        <f t="shared" si="159"/>
        <v>6431.83</v>
      </c>
      <c r="P172">
        <f t="shared" si="160"/>
        <v>0</v>
      </c>
      <c r="Q172">
        <f t="shared" si="161"/>
        <v>0</v>
      </c>
      <c r="R172">
        <f t="shared" si="162"/>
        <v>0</v>
      </c>
      <c r="S172">
        <f t="shared" si="163"/>
        <v>6431.83</v>
      </c>
      <c r="T172">
        <f t="shared" si="164"/>
        <v>0</v>
      </c>
      <c r="U172">
        <f t="shared" si="165"/>
        <v>13.5</v>
      </c>
      <c r="V172">
        <f t="shared" si="166"/>
        <v>0</v>
      </c>
      <c r="W172">
        <f t="shared" si="167"/>
        <v>0</v>
      </c>
      <c r="X172">
        <f t="shared" si="168"/>
        <v>4502.28</v>
      </c>
      <c r="Y172">
        <f t="shared" si="169"/>
        <v>2637.05</v>
      </c>
      <c r="AA172">
        <v>59267179</v>
      </c>
      <c r="AB172">
        <f t="shared" si="170"/>
        <v>74.78</v>
      </c>
      <c r="AC172">
        <f t="shared" si="171"/>
        <v>0</v>
      </c>
      <c r="AD172">
        <f t="shared" si="172"/>
        <v>0</v>
      </c>
      <c r="AE172">
        <f t="shared" si="173"/>
        <v>0</v>
      </c>
      <c r="AF172">
        <f t="shared" si="174"/>
        <v>74.78</v>
      </c>
      <c r="AG172">
        <f t="shared" si="175"/>
        <v>0</v>
      </c>
      <c r="AH172">
        <f t="shared" si="176"/>
        <v>4.5</v>
      </c>
      <c r="AI172">
        <f t="shared" si="177"/>
        <v>0</v>
      </c>
      <c r="AJ172">
        <f t="shared" si="178"/>
        <v>0</v>
      </c>
      <c r="AK172">
        <v>74.78</v>
      </c>
      <c r="AL172">
        <v>0</v>
      </c>
      <c r="AM172">
        <v>0</v>
      </c>
      <c r="AN172">
        <v>0</v>
      </c>
      <c r="AO172">
        <v>74.78</v>
      </c>
      <c r="AP172">
        <v>0</v>
      </c>
      <c r="AQ172">
        <v>4.5</v>
      </c>
      <c r="AR172">
        <v>0</v>
      </c>
      <c r="AS172">
        <v>0</v>
      </c>
      <c r="AT172">
        <v>70</v>
      </c>
      <c r="AU172">
        <v>41</v>
      </c>
      <c r="AV172">
        <v>1</v>
      </c>
      <c r="AW172">
        <v>1</v>
      </c>
      <c r="AZ172">
        <v>1</v>
      </c>
      <c r="BA172">
        <v>28.67</v>
      </c>
      <c r="BB172">
        <v>1</v>
      </c>
      <c r="BC172">
        <v>1</v>
      </c>
      <c r="BD172" t="s">
        <v>3</v>
      </c>
      <c r="BE172" t="s">
        <v>3</v>
      </c>
      <c r="BF172" t="s">
        <v>3</v>
      </c>
      <c r="BG172" t="s">
        <v>3</v>
      </c>
      <c r="BH172">
        <v>0</v>
      </c>
      <c r="BI172">
        <v>4</v>
      </c>
      <c r="BJ172" t="s">
        <v>263</v>
      </c>
      <c r="BM172">
        <v>381</v>
      </c>
      <c r="BN172">
        <v>0</v>
      </c>
      <c r="BO172" t="s">
        <v>3</v>
      </c>
      <c r="BP172">
        <v>0</v>
      </c>
      <c r="BQ172">
        <v>50</v>
      </c>
      <c r="BR172">
        <v>0</v>
      </c>
      <c r="BS172">
        <v>28.67</v>
      </c>
      <c r="BT172">
        <v>1</v>
      </c>
      <c r="BU172">
        <v>1</v>
      </c>
      <c r="BV172">
        <v>1</v>
      </c>
      <c r="BW172">
        <v>1</v>
      </c>
      <c r="BX172">
        <v>1</v>
      </c>
      <c r="BY172" t="s">
        <v>3</v>
      </c>
      <c r="BZ172">
        <v>70</v>
      </c>
      <c r="CA172">
        <v>41</v>
      </c>
      <c r="CB172" t="s">
        <v>3</v>
      </c>
      <c r="CE172">
        <v>0</v>
      </c>
      <c r="CF172">
        <v>0</v>
      </c>
      <c r="CG172">
        <v>0</v>
      </c>
      <c r="CM172">
        <v>0</v>
      </c>
      <c r="CN172" t="s">
        <v>3</v>
      </c>
      <c r="CO172">
        <v>0</v>
      </c>
      <c r="CP172">
        <f t="shared" si="179"/>
        <v>6431.83</v>
      </c>
      <c r="CQ172">
        <f t="shared" si="180"/>
        <v>0</v>
      </c>
      <c r="CR172">
        <f t="shared" si="181"/>
        <v>0</v>
      </c>
      <c r="CS172">
        <f t="shared" si="182"/>
        <v>0</v>
      </c>
      <c r="CT172">
        <f t="shared" si="183"/>
        <v>2143.9426000000003</v>
      </c>
      <c r="CU172">
        <f t="shared" si="184"/>
        <v>0</v>
      </c>
      <c r="CV172">
        <f t="shared" si="185"/>
        <v>4.5</v>
      </c>
      <c r="CW172">
        <f t="shared" si="186"/>
        <v>0</v>
      </c>
      <c r="CX172">
        <f t="shared" si="187"/>
        <v>0</v>
      </c>
      <c r="CY172">
        <f t="shared" si="188"/>
        <v>4502.2809999999999</v>
      </c>
      <c r="CZ172">
        <f t="shared" si="189"/>
        <v>2637.0502999999999</v>
      </c>
      <c r="DC172" t="s">
        <v>3</v>
      </c>
      <c r="DD172" t="s">
        <v>3</v>
      </c>
      <c r="DE172" t="s">
        <v>3</v>
      </c>
      <c r="DF172" t="s">
        <v>3</v>
      </c>
      <c r="DG172" t="s">
        <v>3</v>
      </c>
      <c r="DH172" t="s">
        <v>3</v>
      </c>
      <c r="DI172" t="s">
        <v>3</v>
      </c>
      <c r="DJ172" t="s">
        <v>3</v>
      </c>
      <c r="DK172" t="s">
        <v>3</v>
      </c>
      <c r="DL172" t="s">
        <v>3</v>
      </c>
      <c r="DM172" t="s">
        <v>3</v>
      </c>
      <c r="DN172">
        <v>75</v>
      </c>
      <c r="DO172">
        <v>70</v>
      </c>
      <c r="DP172">
        <v>1</v>
      </c>
      <c r="DQ172">
        <v>1</v>
      </c>
      <c r="DU172">
        <v>1013</v>
      </c>
      <c r="DV172" t="s">
        <v>262</v>
      </c>
      <c r="DW172" t="s">
        <v>262</v>
      </c>
      <c r="DX172">
        <v>1</v>
      </c>
      <c r="DZ172" t="s">
        <v>3</v>
      </c>
      <c r="EA172" t="s">
        <v>3</v>
      </c>
      <c r="EB172" t="s">
        <v>3</v>
      </c>
      <c r="EC172" t="s">
        <v>3</v>
      </c>
      <c r="EE172">
        <v>42063985</v>
      </c>
      <c r="EF172">
        <v>50</v>
      </c>
      <c r="EG172" t="s">
        <v>218</v>
      </c>
      <c r="EH172">
        <v>0</v>
      </c>
      <c r="EI172" t="s">
        <v>3</v>
      </c>
      <c r="EJ172">
        <v>4</v>
      </c>
      <c r="EK172">
        <v>381</v>
      </c>
      <c r="EL172" t="s">
        <v>223</v>
      </c>
      <c r="EM172" t="s">
        <v>224</v>
      </c>
      <c r="EO172" t="s">
        <v>3</v>
      </c>
      <c r="EQ172">
        <v>0</v>
      </c>
      <c r="ER172">
        <v>74.78</v>
      </c>
      <c r="ES172">
        <v>0</v>
      </c>
      <c r="ET172">
        <v>0</v>
      </c>
      <c r="EU172">
        <v>0</v>
      </c>
      <c r="EV172">
        <v>74.78</v>
      </c>
      <c r="EW172">
        <v>4.5</v>
      </c>
      <c r="EX172">
        <v>0</v>
      </c>
      <c r="EY172">
        <v>0</v>
      </c>
      <c r="FQ172">
        <v>0</v>
      </c>
      <c r="FR172">
        <f t="shared" si="190"/>
        <v>0</v>
      </c>
      <c r="FS172">
        <v>0</v>
      </c>
      <c r="FX172">
        <v>75</v>
      </c>
      <c r="FY172">
        <v>70</v>
      </c>
      <c r="GA172" t="s">
        <v>3</v>
      </c>
      <c r="GD172">
        <v>0</v>
      </c>
      <c r="GF172">
        <v>-1722970105</v>
      </c>
      <c r="GG172">
        <v>2</v>
      </c>
      <c r="GH172">
        <v>1</v>
      </c>
      <c r="GI172">
        <v>2</v>
      </c>
      <c r="GJ172">
        <v>0</v>
      </c>
      <c r="GK172">
        <f>ROUND(R172*(R12)/100,2)</f>
        <v>0</v>
      </c>
      <c r="GL172">
        <f t="shared" si="191"/>
        <v>0</v>
      </c>
      <c r="GM172">
        <f t="shared" si="192"/>
        <v>13571.16</v>
      </c>
      <c r="GN172">
        <f t="shared" si="193"/>
        <v>0</v>
      </c>
      <c r="GO172">
        <f t="shared" si="194"/>
        <v>0</v>
      </c>
      <c r="GP172">
        <f t="shared" si="195"/>
        <v>13571.16</v>
      </c>
      <c r="GR172">
        <v>0</v>
      </c>
      <c r="GS172">
        <v>3</v>
      </c>
      <c r="GT172">
        <v>0</v>
      </c>
      <c r="GU172" t="s">
        <v>3</v>
      </c>
      <c r="GV172">
        <f t="shared" si="196"/>
        <v>0</v>
      </c>
      <c r="GW172">
        <v>1</v>
      </c>
      <c r="GX172">
        <f t="shared" si="197"/>
        <v>0</v>
      </c>
      <c r="HA172">
        <v>0</v>
      </c>
      <c r="HB172">
        <v>0</v>
      </c>
      <c r="HC172">
        <f t="shared" si="198"/>
        <v>0</v>
      </c>
      <c r="HE172" t="s">
        <v>3</v>
      </c>
      <c r="HF172" t="s">
        <v>3</v>
      </c>
      <c r="HM172" t="s">
        <v>3</v>
      </c>
      <c r="HN172" t="s">
        <v>3</v>
      </c>
      <c r="HO172" t="s">
        <v>3</v>
      </c>
      <c r="HP172" t="s">
        <v>3</v>
      </c>
      <c r="HQ172" t="s">
        <v>3</v>
      </c>
      <c r="IK172">
        <v>0</v>
      </c>
    </row>
    <row r="173" spans="1:245" x14ac:dyDescent="0.2">
      <c r="A173">
        <v>17</v>
      </c>
      <c r="B173">
        <v>1</v>
      </c>
      <c r="C173">
        <f>ROW(SmtRes!A64)</f>
        <v>64</v>
      </c>
      <c r="D173">
        <f>ROW(EtalonRes!A57)</f>
        <v>57</v>
      </c>
      <c r="E173" t="s">
        <v>264</v>
      </c>
      <c r="F173" t="s">
        <v>265</v>
      </c>
      <c r="G173" t="s">
        <v>266</v>
      </c>
      <c r="H173" t="s">
        <v>262</v>
      </c>
      <c r="I173">
        <v>1</v>
      </c>
      <c r="J173">
        <v>0</v>
      </c>
      <c r="K173">
        <v>1</v>
      </c>
      <c r="O173">
        <f t="shared" si="159"/>
        <v>28668.28</v>
      </c>
      <c r="P173">
        <f t="shared" si="160"/>
        <v>0</v>
      </c>
      <c r="Q173">
        <f t="shared" si="161"/>
        <v>0</v>
      </c>
      <c r="R173">
        <f t="shared" si="162"/>
        <v>0</v>
      </c>
      <c r="S173">
        <f t="shared" si="163"/>
        <v>28668.28</v>
      </c>
      <c r="T173">
        <f t="shared" si="164"/>
        <v>0</v>
      </c>
      <c r="U173">
        <f t="shared" si="165"/>
        <v>57</v>
      </c>
      <c r="V173">
        <f t="shared" si="166"/>
        <v>0</v>
      </c>
      <c r="W173">
        <f t="shared" si="167"/>
        <v>0</v>
      </c>
      <c r="X173">
        <f t="shared" si="168"/>
        <v>20067.8</v>
      </c>
      <c r="Y173">
        <f t="shared" si="169"/>
        <v>11753.99</v>
      </c>
      <c r="AA173">
        <v>59267179</v>
      </c>
      <c r="AB173">
        <f t="shared" si="170"/>
        <v>999.94</v>
      </c>
      <c r="AC173">
        <f t="shared" si="171"/>
        <v>0</v>
      </c>
      <c r="AD173">
        <f t="shared" si="172"/>
        <v>0</v>
      </c>
      <c r="AE173">
        <f t="shared" si="173"/>
        <v>0</v>
      </c>
      <c r="AF173">
        <f t="shared" si="174"/>
        <v>999.94</v>
      </c>
      <c r="AG173">
        <f t="shared" si="175"/>
        <v>0</v>
      </c>
      <c r="AH173">
        <f t="shared" si="176"/>
        <v>57</v>
      </c>
      <c r="AI173">
        <f t="shared" si="177"/>
        <v>0</v>
      </c>
      <c r="AJ173">
        <f t="shared" si="178"/>
        <v>0</v>
      </c>
      <c r="AK173">
        <v>999.94</v>
      </c>
      <c r="AL173">
        <v>0</v>
      </c>
      <c r="AM173">
        <v>0</v>
      </c>
      <c r="AN173">
        <v>0</v>
      </c>
      <c r="AO173">
        <v>999.94</v>
      </c>
      <c r="AP173">
        <v>0</v>
      </c>
      <c r="AQ173">
        <v>57</v>
      </c>
      <c r="AR173">
        <v>0</v>
      </c>
      <c r="AS173">
        <v>0</v>
      </c>
      <c r="AT173">
        <v>70</v>
      </c>
      <c r="AU173">
        <v>41</v>
      </c>
      <c r="AV173">
        <v>1</v>
      </c>
      <c r="AW173">
        <v>1</v>
      </c>
      <c r="AZ173">
        <v>1</v>
      </c>
      <c r="BA173">
        <v>28.67</v>
      </c>
      <c r="BB173">
        <v>1</v>
      </c>
      <c r="BC173">
        <v>1</v>
      </c>
      <c r="BD173" t="s">
        <v>3</v>
      </c>
      <c r="BE173" t="s">
        <v>3</v>
      </c>
      <c r="BF173" t="s">
        <v>3</v>
      </c>
      <c r="BG173" t="s">
        <v>3</v>
      </c>
      <c r="BH173">
        <v>0</v>
      </c>
      <c r="BI173">
        <v>4</v>
      </c>
      <c r="BJ173" t="s">
        <v>267</v>
      </c>
      <c r="BM173">
        <v>381</v>
      </c>
      <c r="BN173">
        <v>0</v>
      </c>
      <c r="BO173" t="s">
        <v>3</v>
      </c>
      <c r="BP173">
        <v>0</v>
      </c>
      <c r="BQ173">
        <v>50</v>
      </c>
      <c r="BR173">
        <v>0</v>
      </c>
      <c r="BS173">
        <v>28.67</v>
      </c>
      <c r="BT173">
        <v>1</v>
      </c>
      <c r="BU173">
        <v>1</v>
      </c>
      <c r="BV173">
        <v>1</v>
      </c>
      <c r="BW173">
        <v>1</v>
      </c>
      <c r="BX173">
        <v>1</v>
      </c>
      <c r="BY173" t="s">
        <v>3</v>
      </c>
      <c r="BZ173">
        <v>70</v>
      </c>
      <c r="CA173">
        <v>41</v>
      </c>
      <c r="CB173" t="s">
        <v>3</v>
      </c>
      <c r="CE173">
        <v>0</v>
      </c>
      <c r="CF173">
        <v>0</v>
      </c>
      <c r="CG173">
        <v>0</v>
      </c>
      <c r="CM173">
        <v>0</v>
      </c>
      <c r="CN173" t="s">
        <v>3</v>
      </c>
      <c r="CO173">
        <v>0</v>
      </c>
      <c r="CP173">
        <f t="shared" si="179"/>
        <v>28668.28</v>
      </c>
      <c r="CQ173">
        <f t="shared" si="180"/>
        <v>0</v>
      </c>
      <c r="CR173">
        <f t="shared" si="181"/>
        <v>0</v>
      </c>
      <c r="CS173">
        <f t="shared" si="182"/>
        <v>0</v>
      </c>
      <c r="CT173">
        <f t="shared" si="183"/>
        <v>28668.279800000004</v>
      </c>
      <c r="CU173">
        <f t="shared" si="184"/>
        <v>0</v>
      </c>
      <c r="CV173">
        <f t="shared" si="185"/>
        <v>57</v>
      </c>
      <c r="CW173">
        <f t="shared" si="186"/>
        <v>0</v>
      </c>
      <c r="CX173">
        <f t="shared" si="187"/>
        <v>0</v>
      </c>
      <c r="CY173">
        <f t="shared" si="188"/>
        <v>20067.795999999998</v>
      </c>
      <c r="CZ173">
        <f t="shared" si="189"/>
        <v>11753.994799999999</v>
      </c>
      <c r="DC173" t="s">
        <v>3</v>
      </c>
      <c r="DD173" t="s">
        <v>3</v>
      </c>
      <c r="DE173" t="s">
        <v>3</v>
      </c>
      <c r="DF173" t="s">
        <v>3</v>
      </c>
      <c r="DG173" t="s">
        <v>3</v>
      </c>
      <c r="DH173" t="s">
        <v>3</v>
      </c>
      <c r="DI173" t="s">
        <v>3</v>
      </c>
      <c r="DJ173" t="s">
        <v>3</v>
      </c>
      <c r="DK173" t="s">
        <v>3</v>
      </c>
      <c r="DL173" t="s">
        <v>3</v>
      </c>
      <c r="DM173" t="s">
        <v>3</v>
      </c>
      <c r="DN173">
        <v>75</v>
      </c>
      <c r="DO173">
        <v>70</v>
      </c>
      <c r="DP173">
        <v>1</v>
      </c>
      <c r="DQ173">
        <v>1</v>
      </c>
      <c r="DU173">
        <v>1013</v>
      </c>
      <c r="DV173" t="s">
        <v>262</v>
      </c>
      <c r="DW173" t="s">
        <v>262</v>
      </c>
      <c r="DX173">
        <v>1</v>
      </c>
      <c r="DZ173" t="s">
        <v>3</v>
      </c>
      <c r="EA173" t="s">
        <v>3</v>
      </c>
      <c r="EB173" t="s">
        <v>3</v>
      </c>
      <c r="EC173" t="s">
        <v>3</v>
      </c>
      <c r="EE173">
        <v>42063985</v>
      </c>
      <c r="EF173">
        <v>50</v>
      </c>
      <c r="EG173" t="s">
        <v>218</v>
      </c>
      <c r="EH173">
        <v>0</v>
      </c>
      <c r="EI173" t="s">
        <v>3</v>
      </c>
      <c r="EJ173">
        <v>4</v>
      </c>
      <c r="EK173">
        <v>381</v>
      </c>
      <c r="EL173" t="s">
        <v>223</v>
      </c>
      <c r="EM173" t="s">
        <v>224</v>
      </c>
      <c r="EO173" t="s">
        <v>3</v>
      </c>
      <c r="EQ173">
        <v>0</v>
      </c>
      <c r="ER173">
        <v>999.94</v>
      </c>
      <c r="ES173">
        <v>0</v>
      </c>
      <c r="ET173">
        <v>0</v>
      </c>
      <c r="EU173">
        <v>0</v>
      </c>
      <c r="EV173">
        <v>999.94</v>
      </c>
      <c r="EW173">
        <v>57</v>
      </c>
      <c r="EX173">
        <v>0</v>
      </c>
      <c r="EY173">
        <v>0</v>
      </c>
      <c r="FQ173">
        <v>0</v>
      </c>
      <c r="FR173">
        <f t="shared" si="190"/>
        <v>0</v>
      </c>
      <c r="FS173">
        <v>0</v>
      </c>
      <c r="FX173">
        <v>75</v>
      </c>
      <c r="FY173">
        <v>70</v>
      </c>
      <c r="GA173" t="s">
        <v>3</v>
      </c>
      <c r="GD173">
        <v>0</v>
      </c>
      <c r="GF173">
        <v>565956995</v>
      </c>
      <c r="GG173">
        <v>2</v>
      </c>
      <c r="GH173">
        <v>1</v>
      </c>
      <c r="GI173">
        <v>2</v>
      </c>
      <c r="GJ173">
        <v>0</v>
      </c>
      <c r="GK173">
        <f>ROUND(R173*(R12)/100,2)</f>
        <v>0</v>
      </c>
      <c r="GL173">
        <f t="shared" si="191"/>
        <v>0</v>
      </c>
      <c r="GM173">
        <f t="shared" si="192"/>
        <v>60490.07</v>
      </c>
      <c r="GN173">
        <f t="shared" si="193"/>
        <v>0</v>
      </c>
      <c r="GO173">
        <f t="shared" si="194"/>
        <v>0</v>
      </c>
      <c r="GP173">
        <f t="shared" si="195"/>
        <v>60490.07</v>
      </c>
      <c r="GR173">
        <v>0</v>
      </c>
      <c r="GS173">
        <v>3</v>
      </c>
      <c r="GT173">
        <v>0</v>
      </c>
      <c r="GU173" t="s">
        <v>3</v>
      </c>
      <c r="GV173">
        <f t="shared" si="196"/>
        <v>0</v>
      </c>
      <c r="GW173">
        <v>1</v>
      </c>
      <c r="GX173">
        <f t="shared" si="197"/>
        <v>0</v>
      </c>
      <c r="HA173">
        <v>0</v>
      </c>
      <c r="HB173">
        <v>0</v>
      </c>
      <c r="HC173">
        <f t="shared" si="198"/>
        <v>0</v>
      </c>
      <c r="HE173" t="s">
        <v>3</v>
      </c>
      <c r="HF173" t="s">
        <v>3</v>
      </c>
      <c r="HM173" t="s">
        <v>3</v>
      </c>
      <c r="HN173" t="s">
        <v>3</v>
      </c>
      <c r="HO173" t="s">
        <v>3</v>
      </c>
      <c r="HP173" t="s">
        <v>3</v>
      </c>
      <c r="HQ173" t="s">
        <v>3</v>
      </c>
      <c r="IK173">
        <v>0</v>
      </c>
    </row>
    <row r="174" spans="1:245" x14ac:dyDescent="0.2">
      <c r="A174">
        <v>17</v>
      </c>
      <c r="B174">
        <v>1</v>
      </c>
      <c r="C174">
        <f>ROW(SmtRes!A65)</f>
        <v>65</v>
      </c>
      <c r="D174">
        <f>ROW(EtalonRes!A58)</f>
        <v>58</v>
      </c>
      <c r="E174" t="s">
        <v>268</v>
      </c>
      <c r="F174" t="s">
        <v>269</v>
      </c>
      <c r="G174" t="s">
        <v>270</v>
      </c>
      <c r="H174" t="s">
        <v>271</v>
      </c>
      <c r="I174">
        <v>2</v>
      </c>
      <c r="J174">
        <v>0</v>
      </c>
      <c r="K174">
        <v>2</v>
      </c>
      <c r="O174">
        <f t="shared" si="159"/>
        <v>1633.62</v>
      </c>
      <c r="P174">
        <f t="shared" si="160"/>
        <v>0</v>
      </c>
      <c r="Q174">
        <f t="shared" si="161"/>
        <v>0</v>
      </c>
      <c r="R174">
        <f t="shared" si="162"/>
        <v>0</v>
      </c>
      <c r="S174">
        <f t="shared" si="163"/>
        <v>1633.62</v>
      </c>
      <c r="T174">
        <f t="shared" si="164"/>
        <v>0</v>
      </c>
      <c r="U174">
        <f t="shared" si="165"/>
        <v>3.6</v>
      </c>
      <c r="V174">
        <f t="shared" si="166"/>
        <v>0</v>
      </c>
      <c r="W174">
        <f t="shared" si="167"/>
        <v>0</v>
      </c>
      <c r="X174">
        <f t="shared" si="168"/>
        <v>1143.53</v>
      </c>
      <c r="Y174">
        <f t="shared" si="169"/>
        <v>669.78</v>
      </c>
      <c r="AA174">
        <v>59267179</v>
      </c>
      <c r="AB174">
        <f t="shared" si="170"/>
        <v>28.49</v>
      </c>
      <c r="AC174">
        <f t="shared" si="171"/>
        <v>0</v>
      </c>
      <c r="AD174">
        <f t="shared" si="172"/>
        <v>0</v>
      </c>
      <c r="AE174">
        <f t="shared" si="173"/>
        <v>0</v>
      </c>
      <c r="AF174">
        <f t="shared" si="174"/>
        <v>28.49</v>
      </c>
      <c r="AG174">
        <f t="shared" si="175"/>
        <v>0</v>
      </c>
      <c r="AH174">
        <f t="shared" si="176"/>
        <v>1.8</v>
      </c>
      <c r="AI174">
        <f t="shared" si="177"/>
        <v>0</v>
      </c>
      <c r="AJ174">
        <f t="shared" si="178"/>
        <v>0</v>
      </c>
      <c r="AK174">
        <v>28.49</v>
      </c>
      <c r="AL174">
        <v>0</v>
      </c>
      <c r="AM174">
        <v>0</v>
      </c>
      <c r="AN174">
        <v>0</v>
      </c>
      <c r="AO174">
        <v>28.49</v>
      </c>
      <c r="AP174">
        <v>0</v>
      </c>
      <c r="AQ174">
        <v>1.8</v>
      </c>
      <c r="AR174">
        <v>0</v>
      </c>
      <c r="AS174">
        <v>0</v>
      </c>
      <c r="AT174">
        <v>70</v>
      </c>
      <c r="AU174">
        <v>41</v>
      </c>
      <c r="AV174">
        <v>1</v>
      </c>
      <c r="AW174">
        <v>1</v>
      </c>
      <c r="AZ174">
        <v>1</v>
      </c>
      <c r="BA174">
        <v>28.67</v>
      </c>
      <c r="BB174">
        <v>1</v>
      </c>
      <c r="BC174">
        <v>1</v>
      </c>
      <c r="BD174" t="s">
        <v>3</v>
      </c>
      <c r="BE174" t="s">
        <v>3</v>
      </c>
      <c r="BF174" t="s">
        <v>3</v>
      </c>
      <c r="BG174" t="s">
        <v>3</v>
      </c>
      <c r="BH174">
        <v>0</v>
      </c>
      <c r="BI174">
        <v>4</v>
      </c>
      <c r="BJ174" t="s">
        <v>272</v>
      </c>
      <c r="BM174">
        <v>381</v>
      </c>
      <c r="BN174">
        <v>0</v>
      </c>
      <c r="BO174" t="s">
        <v>3</v>
      </c>
      <c r="BP174">
        <v>0</v>
      </c>
      <c r="BQ174">
        <v>50</v>
      </c>
      <c r="BR174">
        <v>0</v>
      </c>
      <c r="BS174">
        <v>28.67</v>
      </c>
      <c r="BT174">
        <v>1</v>
      </c>
      <c r="BU174">
        <v>1</v>
      </c>
      <c r="BV174">
        <v>1</v>
      </c>
      <c r="BW174">
        <v>1</v>
      </c>
      <c r="BX174">
        <v>1</v>
      </c>
      <c r="BY174" t="s">
        <v>3</v>
      </c>
      <c r="BZ174">
        <v>70</v>
      </c>
      <c r="CA174">
        <v>41</v>
      </c>
      <c r="CB174" t="s">
        <v>3</v>
      </c>
      <c r="CE174">
        <v>0</v>
      </c>
      <c r="CF174">
        <v>0</v>
      </c>
      <c r="CG174">
        <v>0</v>
      </c>
      <c r="CM174">
        <v>0</v>
      </c>
      <c r="CN174" t="s">
        <v>3</v>
      </c>
      <c r="CO174">
        <v>0</v>
      </c>
      <c r="CP174">
        <f t="shared" si="179"/>
        <v>1633.62</v>
      </c>
      <c r="CQ174">
        <f t="shared" si="180"/>
        <v>0</v>
      </c>
      <c r="CR174">
        <f t="shared" si="181"/>
        <v>0</v>
      </c>
      <c r="CS174">
        <f t="shared" si="182"/>
        <v>0</v>
      </c>
      <c r="CT174">
        <f t="shared" si="183"/>
        <v>816.80830000000003</v>
      </c>
      <c r="CU174">
        <f t="shared" si="184"/>
        <v>0</v>
      </c>
      <c r="CV174">
        <f t="shared" si="185"/>
        <v>1.8</v>
      </c>
      <c r="CW174">
        <f t="shared" si="186"/>
        <v>0</v>
      </c>
      <c r="CX174">
        <f t="shared" si="187"/>
        <v>0</v>
      </c>
      <c r="CY174">
        <f t="shared" si="188"/>
        <v>1143.5339999999999</v>
      </c>
      <c r="CZ174">
        <f t="shared" si="189"/>
        <v>669.78419999999994</v>
      </c>
      <c r="DC174" t="s">
        <v>3</v>
      </c>
      <c r="DD174" t="s">
        <v>3</v>
      </c>
      <c r="DE174" t="s">
        <v>3</v>
      </c>
      <c r="DF174" t="s">
        <v>3</v>
      </c>
      <c r="DG174" t="s">
        <v>3</v>
      </c>
      <c r="DH174" t="s">
        <v>3</v>
      </c>
      <c r="DI174" t="s">
        <v>3</v>
      </c>
      <c r="DJ174" t="s">
        <v>3</v>
      </c>
      <c r="DK174" t="s">
        <v>3</v>
      </c>
      <c r="DL174" t="s">
        <v>3</v>
      </c>
      <c r="DM174" t="s">
        <v>3</v>
      </c>
      <c r="DN174">
        <v>75</v>
      </c>
      <c r="DO174">
        <v>70</v>
      </c>
      <c r="DP174">
        <v>1</v>
      </c>
      <c r="DQ174">
        <v>1</v>
      </c>
      <c r="DU174">
        <v>1013</v>
      </c>
      <c r="DV174" t="s">
        <v>271</v>
      </c>
      <c r="DW174" t="s">
        <v>271</v>
      </c>
      <c r="DX174">
        <v>1</v>
      </c>
      <c r="DZ174" t="s">
        <v>3</v>
      </c>
      <c r="EA174" t="s">
        <v>3</v>
      </c>
      <c r="EB174" t="s">
        <v>3</v>
      </c>
      <c r="EC174" t="s">
        <v>3</v>
      </c>
      <c r="EE174">
        <v>42063985</v>
      </c>
      <c r="EF174">
        <v>50</v>
      </c>
      <c r="EG174" t="s">
        <v>218</v>
      </c>
      <c r="EH174">
        <v>0</v>
      </c>
      <c r="EI174" t="s">
        <v>3</v>
      </c>
      <c r="EJ174">
        <v>4</v>
      </c>
      <c r="EK174">
        <v>381</v>
      </c>
      <c r="EL174" t="s">
        <v>223</v>
      </c>
      <c r="EM174" t="s">
        <v>224</v>
      </c>
      <c r="EO174" t="s">
        <v>3</v>
      </c>
      <c r="EQ174">
        <v>0</v>
      </c>
      <c r="ER174">
        <v>28.49</v>
      </c>
      <c r="ES174">
        <v>0</v>
      </c>
      <c r="ET174">
        <v>0</v>
      </c>
      <c r="EU174">
        <v>0</v>
      </c>
      <c r="EV174">
        <v>28.49</v>
      </c>
      <c r="EW174">
        <v>1.8</v>
      </c>
      <c r="EX174">
        <v>0</v>
      </c>
      <c r="EY174">
        <v>0</v>
      </c>
      <c r="FQ174">
        <v>0</v>
      </c>
      <c r="FR174">
        <f t="shared" si="190"/>
        <v>0</v>
      </c>
      <c r="FS174">
        <v>0</v>
      </c>
      <c r="FX174">
        <v>75</v>
      </c>
      <c r="FY174">
        <v>70</v>
      </c>
      <c r="GA174" t="s">
        <v>3</v>
      </c>
      <c r="GD174">
        <v>0</v>
      </c>
      <c r="GF174">
        <v>-1139745271</v>
      </c>
      <c r="GG174">
        <v>2</v>
      </c>
      <c r="GH174">
        <v>1</v>
      </c>
      <c r="GI174">
        <v>2</v>
      </c>
      <c r="GJ174">
        <v>0</v>
      </c>
      <c r="GK174">
        <f>ROUND(R174*(R12)/100,2)</f>
        <v>0</v>
      </c>
      <c r="GL174">
        <f t="shared" si="191"/>
        <v>0</v>
      </c>
      <c r="GM174">
        <f t="shared" si="192"/>
        <v>3446.93</v>
      </c>
      <c r="GN174">
        <f t="shared" si="193"/>
        <v>0</v>
      </c>
      <c r="GO174">
        <f t="shared" si="194"/>
        <v>0</v>
      </c>
      <c r="GP174">
        <f t="shared" si="195"/>
        <v>3446.93</v>
      </c>
      <c r="GR174">
        <v>0</v>
      </c>
      <c r="GS174">
        <v>3</v>
      </c>
      <c r="GT174">
        <v>0</v>
      </c>
      <c r="GU174" t="s">
        <v>3</v>
      </c>
      <c r="GV174">
        <f t="shared" si="196"/>
        <v>0</v>
      </c>
      <c r="GW174">
        <v>1</v>
      </c>
      <c r="GX174">
        <f t="shared" si="197"/>
        <v>0</v>
      </c>
      <c r="HA174">
        <v>0</v>
      </c>
      <c r="HB174">
        <v>0</v>
      </c>
      <c r="HC174">
        <f t="shared" si="198"/>
        <v>0</v>
      </c>
      <c r="HE174" t="s">
        <v>3</v>
      </c>
      <c r="HF174" t="s">
        <v>3</v>
      </c>
      <c r="HM174" t="s">
        <v>3</v>
      </c>
      <c r="HN174" t="s">
        <v>3</v>
      </c>
      <c r="HO174" t="s">
        <v>3</v>
      </c>
      <c r="HP174" t="s">
        <v>3</v>
      </c>
      <c r="HQ174" t="s">
        <v>3</v>
      </c>
      <c r="IK174">
        <v>0</v>
      </c>
    </row>
    <row r="175" spans="1:245" x14ac:dyDescent="0.2">
      <c r="A175">
        <v>17</v>
      </c>
      <c r="B175">
        <v>1</v>
      </c>
      <c r="C175">
        <f>ROW(SmtRes!A66)</f>
        <v>66</v>
      </c>
      <c r="D175">
        <f>ROW(EtalonRes!A59)</f>
        <v>59</v>
      </c>
      <c r="E175" t="s">
        <v>273</v>
      </c>
      <c r="F175" t="s">
        <v>274</v>
      </c>
      <c r="G175" t="s">
        <v>275</v>
      </c>
      <c r="H175" t="s">
        <v>276</v>
      </c>
      <c r="I175">
        <v>20</v>
      </c>
      <c r="J175">
        <v>0</v>
      </c>
      <c r="K175">
        <v>20</v>
      </c>
      <c r="O175">
        <f t="shared" si="159"/>
        <v>1358.96</v>
      </c>
      <c r="P175">
        <f t="shared" si="160"/>
        <v>0</v>
      </c>
      <c r="Q175">
        <f t="shared" si="161"/>
        <v>0</v>
      </c>
      <c r="R175">
        <f t="shared" si="162"/>
        <v>0</v>
      </c>
      <c r="S175">
        <f t="shared" si="163"/>
        <v>1358.96</v>
      </c>
      <c r="T175">
        <f t="shared" si="164"/>
        <v>0</v>
      </c>
      <c r="U175">
        <f t="shared" si="165"/>
        <v>3</v>
      </c>
      <c r="V175">
        <f t="shared" si="166"/>
        <v>0</v>
      </c>
      <c r="W175">
        <f t="shared" si="167"/>
        <v>0</v>
      </c>
      <c r="X175">
        <f t="shared" si="168"/>
        <v>951.27</v>
      </c>
      <c r="Y175">
        <f t="shared" si="169"/>
        <v>557.16999999999996</v>
      </c>
      <c r="AA175">
        <v>59267179</v>
      </c>
      <c r="AB175">
        <f t="shared" si="170"/>
        <v>2.37</v>
      </c>
      <c r="AC175">
        <f t="shared" si="171"/>
        <v>0</v>
      </c>
      <c r="AD175">
        <f t="shared" si="172"/>
        <v>0</v>
      </c>
      <c r="AE175">
        <f t="shared" si="173"/>
        <v>0</v>
      </c>
      <c r="AF175">
        <f t="shared" si="174"/>
        <v>2.37</v>
      </c>
      <c r="AG175">
        <f t="shared" si="175"/>
        <v>0</v>
      </c>
      <c r="AH175">
        <f t="shared" si="176"/>
        <v>0.15</v>
      </c>
      <c r="AI175">
        <f t="shared" si="177"/>
        <v>0</v>
      </c>
      <c r="AJ175">
        <f t="shared" si="178"/>
        <v>0</v>
      </c>
      <c r="AK175">
        <v>2.37</v>
      </c>
      <c r="AL175">
        <v>0</v>
      </c>
      <c r="AM175">
        <v>0</v>
      </c>
      <c r="AN175">
        <v>0</v>
      </c>
      <c r="AO175">
        <v>2.37</v>
      </c>
      <c r="AP175">
        <v>0</v>
      </c>
      <c r="AQ175">
        <v>0.15</v>
      </c>
      <c r="AR175">
        <v>0</v>
      </c>
      <c r="AS175">
        <v>0</v>
      </c>
      <c r="AT175">
        <v>70</v>
      </c>
      <c r="AU175">
        <v>41</v>
      </c>
      <c r="AV175">
        <v>1</v>
      </c>
      <c r="AW175">
        <v>1</v>
      </c>
      <c r="AZ175">
        <v>1</v>
      </c>
      <c r="BA175">
        <v>28.67</v>
      </c>
      <c r="BB175">
        <v>1</v>
      </c>
      <c r="BC175">
        <v>1</v>
      </c>
      <c r="BD175" t="s">
        <v>3</v>
      </c>
      <c r="BE175" t="s">
        <v>3</v>
      </c>
      <c r="BF175" t="s">
        <v>3</v>
      </c>
      <c r="BG175" t="s">
        <v>3</v>
      </c>
      <c r="BH175">
        <v>0</v>
      </c>
      <c r="BI175">
        <v>4</v>
      </c>
      <c r="BJ175" t="s">
        <v>277</v>
      </c>
      <c r="BM175">
        <v>381</v>
      </c>
      <c r="BN175">
        <v>0</v>
      </c>
      <c r="BO175" t="s">
        <v>3</v>
      </c>
      <c r="BP175">
        <v>0</v>
      </c>
      <c r="BQ175">
        <v>50</v>
      </c>
      <c r="BR175">
        <v>0</v>
      </c>
      <c r="BS175">
        <v>28.67</v>
      </c>
      <c r="BT175">
        <v>1</v>
      </c>
      <c r="BU175">
        <v>1</v>
      </c>
      <c r="BV175">
        <v>1</v>
      </c>
      <c r="BW175">
        <v>1</v>
      </c>
      <c r="BX175">
        <v>1</v>
      </c>
      <c r="BY175" t="s">
        <v>3</v>
      </c>
      <c r="BZ175">
        <v>70</v>
      </c>
      <c r="CA175">
        <v>41</v>
      </c>
      <c r="CB175" t="s">
        <v>3</v>
      </c>
      <c r="CE175">
        <v>0</v>
      </c>
      <c r="CF175">
        <v>0</v>
      </c>
      <c r="CG175">
        <v>0</v>
      </c>
      <c r="CM175">
        <v>0</v>
      </c>
      <c r="CN175" t="s">
        <v>3</v>
      </c>
      <c r="CO175">
        <v>0</v>
      </c>
      <c r="CP175">
        <f t="shared" si="179"/>
        <v>1358.96</v>
      </c>
      <c r="CQ175">
        <f t="shared" si="180"/>
        <v>0</v>
      </c>
      <c r="CR175">
        <f t="shared" si="181"/>
        <v>0</v>
      </c>
      <c r="CS175">
        <f t="shared" si="182"/>
        <v>0</v>
      </c>
      <c r="CT175">
        <f t="shared" si="183"/>
        <v>67.947900000000004</v>
      </c>
      <c r="CU175">
        <f t="shared" si="184"/>
        <v>0</v>
      </c>
      <c r="CV175">
        <f t="shared" si="185"/>
        <v>0.15</v>
      </c>
      <c r="CW175">
        <f t="shared" si="186"/>
        <v>0</v>
      </c>
      <c r="CX175">
        <f t="shared" si="187"/>
        <v>0</v>
      </c>
      <c r="CY175">
        <f t="shared" si="188"/>
        <v>951.27199999999993</v>
      </c>
      <c r="CZ175">
        <f t="shared" si="189"/>
        <v>557.17359999999996</v>
      </c>
      <c r="DC175" t="s">
        <v>3</v>
      </c>
      <c r="DD175" t="s">
        <v>3</v>
      </c>
      <c r="DE175" t="s">
        <v>3</v>
      </c>
      <c r="DF175" t="s">
        <v>3</v>
      </c>
      <c r="DG175" t="s">
        <v>3</v>
      </c>
      <c r="DH175" t="s">
        <v>3</v>
      </c>
      <c r="DI175" t="s">
        <v>3</v>
      </c>
      <c r="DJ175" t="s">
        <v>3</v>
      </c>
      <c r="DK175" t="s">
        <v>3</v>
      </c>
      <c r="DL175" t="s">
        <v>3</v>
      </c>
      <c r="DM175" t="s">
        <v>3</v>
      </c>
      <c r="DN175">
        <v>75</v>
      </c>
      <c r="DO175">
        <v>70</v>
      </c>
      <c r="DP175">
        <v>1</v>
      </c>
      <c r="DQ175">
        <v>1</v>
      </c>
      <c r="DU175">
        <v>1013</v>
      </c>
      <c r="DV175" t="s">
        <v>276</v>
      </c>
      <c r="DW175" t="s">
        <v>276</v>
      </c>
      <c r="DX175">
        <v>1</v>
      </c>
      <c r="DZ175" t="s">
        <v>3</v>
      </c>
      <c r="EA175" t="s">
        <v>3</v>
      </c>
      <c r="EB175" t="s">
        <v>3</v>
      </c>
      <c r="EC175" t="s">
        <v>3</v>
      </c>
      <c r="EE175">
        <v>42063985</v>
      </c>
      <c r="EF175">
        <v>50</v>
      </c>
      <c r="EG175" t="s">
        <v>218</v>
      </c>
      <c r="EH175">
        <v>0</v>
      </c>
      <c r="EI175" t="s">
        <v>3</v>
      </c>
      <c r="EJ175">
        <v>4</v>
      </c>
      <c r="EK175">
        <v>381</v>
      </c>
      <c r="EL175" t="s">
        <v>223</v>
      </c>
      <c r="EM175" t="s">
        <v>224</v>
      </c>
      <c r="EO175" t="s">
        <v>3</v>
      </c>
      <c r="EQ175">
        <v>0</v>
      </c>
      <c r="ER175">
        <v>2.37</v>
      </c>
      <c r="ES175">
        <v>0</v>
      </c>
      <c r="ET175">
        <v>0</v>
      </c>
      <c r="EU175">
        <v>0</v>
      </c>
      <c r="EV175">
        <v>2.37</v>
      </c>
      <c r="EW175">
        <v>0.15</v>
      </c>
      <c r="EX175">
        <v>0</v>
      </c>
      <c r="EY175">
        <v>0</v>
      </c>
      <c r="FQ175">
        <v>0</v>
      </c>
      <c r="FR175">
        <f t="shared" si="190"/>
        <v>0</v>
      </c>
      <c r="FS175">
        <v>0</v>
      </c>
      <c r="FX175">
        <v>75</v>
      </c>
      <c r="FY175">
        <v>70</v>
      </c>
      <c r="GA175" t="s">
        <v>3</v>
      </c>
      <c r="GD175">
        <v>0</v>
      </c>
      <c r="GF175">
        <v>-944410490</v>
      </c>
      <c r="GG175">
        <v>2</v>
      </c>
      <c r="GH175">
        <v>1</v>
      </c>
      <c r="GI175">
        <v>2</v>
      </c>
      <c r="GJ175">
        <v>0</v>
      </c>
      <c r="GK175">
        <f>ROUND(R175*(R12)/100,2)</f>
        <v>0</v>
      </c>
      <c r="GL175">
        <f t="shared" si="191"/>
        <v>0</v>
      </c>
      <c r="GM175">
        <f t="shared" si="192"/>
        <v>2867.4</v>
      </c>
      <c r="GN175">
        <f t="shared" si="193"/>
        <v>0</v>
      </c>
      <c r="GO175">
        <f t="shared" si="194"/>
        <v>0</v>
      </c>
      <c r="GP175">
        <f t="shared" si="195"/>
        <v>2867.4</v>
      </c>
      <c r="GR175">
        <v>0</v>
      </c>
      <c r="GS175">
        <v>3</v>
      </c>
      <c r="GT175">
        <v>0</v>
      </c>
      <c r="GU175" t="s">
        <v>3</v>
      </c>
      <c r="GV175">
        <f t="shared" si="196"/>
        <v>0</v>
      </c>
      <c r="GW175">
        <v>1</v>
      </c>
      <c r="GX175">
        <f t="shared" si="197"/>
        <v>0</v>
      </c>
      <c r="HA175">
        <v>0</v>
      </c>
      <c r="HB175">
        <v>0</v>
      </c>
      <c r="HC175">
        <f t="shared" si="198"/>
        <v>0</v>
      </c>
      <c r="HE175" t="s">
        <v>3</v>
      </c>
      <c r="HF175" t="s">
        <v>3</v>
      </c>
      <c r="HM175" t="s">
        <v>3</v>
      </c>
      <c r="HN175" t="s">
        <v>3</v>
      </c>
      <c r="HO175" t="s">
        <v>3</v>
      </c>
      <c r="HP175" t="s">
        <v>3</v>
      </c>
      <c r="HQ175" t="s">
        <v>3</v>
      </c>
      <c r="IK175">
        <v>0</v>
      </c>
    </row>
    <row r="177" spans="1:206" x14ac:dyDescent="0.2">
      <c r="A177" s="2">
        <v>51</v>
      </c>
      <c r="B177" s="2">
        <f>B159</f>
        <v>1</v>
      </c>
      <c r="C177" s="2">
        <f>A159</f>
        <v>4</v>
      </c>
      <c r="D177" s="2">
        <f>ROW(A159)</f>
        <v>159</v>
      </c>
      <c r="E177" s="2"/>
      <c r="F177" s="2" t="str">
        <f>IF(F159&lt;&gt;"",F159,"")</f>
        <v>Новый раздел</v>
      </c>
      <c r="G177" s="2" t="str">
        <f>IF(G159&lt;&gt;"",G159,"")</f>
        <v>Пусконаладочные работы</v>
      </c>
      <c r="H177" s="2">
        <v>0</v>
      </c>
      <c r="I177" s="2"/>
      <c r="J177" s="2"/>
      <c r="K177" s="2"/>
      <c r="L177" s="2"/>
      <c r="M177" s="2"/>
      <c r="N177" s="2"/>
      <c r="O177" s="2">
        <f t="shared" ref="O177:T177" si="199">ROUND(AB177,2)</f>
        <v>104180.77</v>
      </c>
      <c r="P177" s="2">
        <f t="shared" si="199"/>
        <v>0</v>
      </c>
      <c r="Q177" s="2">
        <f t="shared" si="199"/>
        <v>0</v>
      </c>
      <c r="R177" s="2">
        <f t="shared" si="199"/>
        <v>0</v>
      </c>
      <c r="S177" s="2">
        <f t="shared" si="199"/>
        <v>104180.77</v>
      </c>
      <c r="T177" s="2">
        <f t="shared" si="199"/>
        <v>0</v>
      </c>
      <c r="U177" s="2">
        <f>AH177</f>
        <v>224.99999999999997</v>
      </c>
      <c r="V177" s="2">
        <f>AI177</f>
        <v>0</v>
      </c>
      <c r="W177" s="2">
        <f>ROUND(AJ177,2)</f>
        <v>0</v>
      </c>
      <c r="X177" s="2">
        <f>ROUND(AK177,2)</f>
        <v>72926.55</v>
      </c>
      <c r="Y177" s="2">
        <f>ROUND(AL177,2)</f>
        <v>42714.12</v>
      </c>
      <c r="Z177" s="2"/>
      <c r="AA177" s="2"/>
      <c r="AB177" s="2">
        <f>ROUND(SUMIF(AA163:AA175,"=59267179",O163:O175),2)</f>
        <v>104180.77</v>
      </c>
      <c r="AC177" s="2">
        <f>ROUND(SUMIF(AA163:AA175,"=59267179",P163:P175),2)</f>
        <v>0</v>
      </c>
      <c r="AD177" s="2">
        <f>ROUND(SUMIF(AA163:AA175,"=59267179",Q163:Q175),2)</f>
        <v>0</v>
      </c>
      <c r="AE177" s="2">
        <f>ROUND(SUMIF(AA163:AA175,"=59267179",R163:R175),2)</f>
        <v>0</v>
      </c>
      <c r="AF177" s="2">
        <f>ROUND(SUMIF(AA163:AA175,"=59267179",S163:S175),2)</f>
        <v>104180.77</v>
      </c>
      <c r="AG177" s="2">
        <f>ROUND(SUMIF(AA163:AA175,"=59267179",T163:T175),2)</f>
        <v>0</v>
      </c>
      <c r="AH177" s="2">
        <f>SUMIF(AA163:AA175,"=59267179",U163:U175)</f>
        <v>224.99999999999997</v>
      </c>
      <c r="AI177" s="2">
        <f>SUMIF(AA163:AA175,"=59267179",V163:V175)</f>
        <v>0</v>
      </c>
      <c r="AJ177" s="2">
        <f>ROUND(SUMIF(AA163:AA175,"=59267179",W163:W175),2)</f>
        <v>0</v>
      </c>
      <c r="AK177" s="2">
        <f>ROUND(SUMIF(AA163:AA175,"=59267179",X163:X175),2)</f>
        <v>72926.55</v>
      </c>
      <c r="AL177" s="2">
        <f>ROUND(SUMIF(AA163:AA175,"=59267179",Y163:Y175),2)</f>
        <v>42714.12</v>
      </c>
      <c r="AM177" s="2"/>
      <c r="AN177" s="2"/>
      <c r="AO177" s="2">
        <f t="shared" ref="AO177:BD177" si="200">ROUND(BX177,2)</f>
        <v>0</v>
      </c>
      <c r="AP177" s="2">
        <f t="shared" si="200"/>
        <v>0</v>
      </c>
      <c r="AQ177" s="2">
        <f t="shared" si="200"/>
        <v>0</v>
      </c>
      <c r="AR177" s="2">
        <f t="shared" si="200"/>
        <v>219821.44</v>
      </c>
      <c r="AS177" s="2">
        <f t="shared" si="200"/>
        <v>0</v>
      </c>
      <c r="AT177" s="2">
        <f t="shared" si="200"/>
        <v>0</v>
      </c>
      <c r="AU177" s="2">
        <f t="shared" si="200"/>
        <v>219821.44</v>
      </c>
      <c r="AV177" s="2">
        <f t="shared" si="200"/>
        <v>0</v>
      </c>
      <c r="AW177" s="2">
        <f t="shared" si="200"/>
        <v>0</v>
      </c>
      <c r="AX177" s="2">
        <f t="shared" si="200"/>
        <v>0</v>
      </c>
      <c r="AY177" s="2">
        <f t="shared" si="200"/>
        <v>0</v>
      </c>
      <c r="AZ177" s="2">
        <f t="shared" si="200"/>
        <v>0</v>
      </c>
      <c r="BA177" s="2">
        <f t="shared" si="200"/>
        <v>0</v>
      </c>
      <c r="BB177" s="2">
        <f t="shared" si="200"/>
        <v>0</v>
      </c>
      <c r="BC177" s="2">
        <f t="shared" si="200"/>
        <v>0</v>
      </c>
      <c r="BD177" s="2">
        <f t="shared" si="200"/>
        <v>0</v>
      </c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2"/>
      <c r="BP177" s="2"/>
      <c r="BQ177" s="2"/>
      <c r="BR177" s="2"/>
      <c r="BS177" s="2"/>
      <c r="BT177" s="2"/>
      <c r="BU177" s="2"/>
      <c r="BV177" s="2"/>
      <c r="BW177" s="2"/>
      <c r="BX177" s="2">
        <f>ROUND(SUMIF(AA163:AA175,"=59267179",FQ163:FQ175),2)</f>
        <v>0</v>
      </c>
      <c r="BY177" s="2">
        <f>ROUND(SUMIF(AA163:AA175,"=59267179",FR163:FR175),2)</f>
        <v>0</v>
      </c>
      <c r="BZ177" s="2">
        <f>ROUND(SUMIF(AA163:AA175,"=59267179",GL163:GL175),2)</f>
        <v>0</v>
      </c>
      <c r="CA177" s="2">
        <f>ROUND(SUMIF(AA163:AA175,"=59267179",GM163:GM175),2)</f>
        <v>219821.44</v>
      </c>
      <c r="CB177" s="2">
        <f>ROUND(SUMIF(AA163:AA175,"=59267179",GN163:GN175),2)</f>
        <v>0</v>
      </c>
      <c r="CC177" s="2">
        <f>ROUND(SUMIF(AA163:AA175,"=59267179",GO163:GO175),2)</f>
        <v>0</v>
      </c>
      <c r="CD177" s="2">
        <f>ROUND(SUMIF(AA163:AA175,"=59267179",GP163:GP175),2)</f>
        <v>219821.44</v>
      </c>
      <c r="CE177" s="2">
        <f>AC177-BX177</f>
        <v>0</v>
      </c>
      <c r="CF177" s="2">
        <f>AC177-BY177</f>
        <v>0</v>
      </c>
      <c r="CG177" s="2">
        <f>BX177-BZ177</f>
        <v>0</v>
      </c>
      <c r="CH177" s="2">
        <f>AC177-BX177-BY177+BZ177</f>
        <v>0</v>
      </c>
      <c r="CI177" s="2">
        <f>BY177-BZ177</f>
        <v>0</v>
      </c>
      <c r="CJ177" s="2">
        <f>ROUND(SUMIF(AA163:AA175,"=59267179",GX163:GX175),2)</f>
        <v>0</v>
      </c>
      <c r="CK177" s="2">
        <f>ROUND(SUMIF(AA163:AA175,"=59267179",GY163:GY175),2)</f>
        <v>0</v>
      </c>
      <c r="CL177" s="2">
        <f>ROUND(SUMIF(AA163:AA175,"=59267179",GZ163:GZ175),2)</f>
        <v>0</v>
      </c>
      <c r="CM177" s="2">
        <f>ROUND(SUMIF(AA163:AA175,"=59267179",HD163:HD175),2)</f>
        <v>0</v>
      </c>
      <c r="CN177" s="2"/>
      <c r="CO177" s="2"/>
      <c r="CP177" s="2"/>
      <c r="CQ177" s="2"/>
      <c r="CR177" s="2"/>
      <c r="CS177" s="2"/>
      <c r="CT177" s="2"/>
      <c r="CU177" s="2"/>
      <c r="CV177" s="2"/>
      <c r="CW177" s="2"/>
      <c r="CX177" s="2"/>
      <c r="CY177" s="2"/>
      <c r="CZ177" s="2"/>
      <c r="DA177" s="2"/>
      <c r="DB177" s="2"/>
      <c r="DC177" s="2"/>
      <c r="DD177" s="2"/>
      <c r="DE177" s="2"/>
      <c r="DF177" s="2"/>
      <c r="DG177" s="3"/>
      <c r="DH177" s="3"/>
      <c r="DI177" s="3"/>
      <c r="DJ177" s="3"/>
      <c r="DK177" s="3"/>
      <c r="DL177" s="3"/>
      <c r="DM177" s="3"/>
      <c r="DN177" s="3"/>
      <c r="DO177" s="3"/>
      <c r="DP177" s="3"/>
      <c r="DQ177" s="3"/>
      <c r="DR177" s="3"/>
      <c r="DS177" s="3"/>
      <c r="DT177" s="3"/>
      <c r="DU177" s="3"/>
      <c r="DV177" s="3"/>
      <c r="DW177" s="3"/>
      <c r="DX177" s="3"/>
      <c r="DY177" s="3"/>
      <c r="DZ177" s="3"/>
      <c r="EA177" s="3"/>
      <c r="EB177" s="3"/>
      <c r="EC177" s="3"/>
      <c r="ED177" s="3"/>
      <c r="EE177" s="3"/>
      <c r="EF177" s="3"/>
      <c r="EG177" s="3"/>
      <c r="EH177" s="3"/>
      <c r="EI177" s="3"/>
      <c r="EJ177" s="3"/>
      <c r="EK177" s="3"/>
      <c r="EL177" s="3"/>
      <c r="EM177" s="3"/>
      <c r="EN177" s="3"/>
      <c r="EO177" s="3"/>
      <c r="EP177" s="3"/>
      <c r="EQ177" s="3"/>
      <c r="ER177" s="3"/>
      <c r="ES177" s="3"/>
      <c r="ET177" s="3"/>
      <c r="EU177" s="3"/>
      <c r="EV177" s="3"/>
      <c r="EW177" s="3"/>
      <c r="EX177" s="3"/>
      <c r="EY177" s="3"/>
      <c r="EZ177" s="3"/>
      <c r="FA177" s="3"/>
      <c r="FB177" s="3"/>
      <c r="FC177" s="3"/>
      <c r="FD177" s="3"/>
      <c r="FE177" s="3"/>
      <c r="FF177" s="3"/>
      <c r="FG177" s="3"/>
      <c r="FH177" s="3"/>
      <c r="FI177" s="3"/>
      <c r="FJ177" s="3"/>
      <c r="FK177" s="3"/>
      <c r="FL177" s="3"/>
      <c r="FM177" s="3"/>
      <c r="FN177" s="3"/>
      <c r="FO177" s="3"/>
      <c r="FP177" s="3"/>
      <c r="FQ177" s="3"/>
      <c r="FR177" s="3"/>
      <c r="FS177" s="3"/>
      <c r="FT177" s="3"/>
      <c r="FU177" s="3"/>
      <c r="FV177" s="3"/>
      <c r="FW177" s="3"/>
      <c r="FX177" s="3"/>
      <c r="FY177" s="3"/>
      <c r="FZ177" s="3"/>
      <c r="GA177" s="3"/>
      <c r="GB177" s="3"/>
      <c r="GC177" s="3"/>
      <c r="GD177" s="3"/>
      <c r="GE177" s="3"/>
      <c r="GF177" s="3"/>
      <c r="GG177" s="3"/>
      <c r="GH177" s="3"/>
      <c r="GI177" s="3"/>
      <c r="GJ177" s="3"/>
      <c r="GK177" s="3"/>
      <c r="GL177" s="3"/>
      <c r="GM177" s="3"/>
      <c r="GN177" s="3"/>
      <c r="GO177" s="3"/>
      <c r="GP177" s="3"/>
      <c r="GQ177" s="3"/>
      <c r="GR177" s="3"/>
      <c r="GS177" s="3"/>
      <c r="GT177" s="3"/>
      <c r="GU177" s="3"/>
      <c r="GV177" s="3"/>
      <c r="GW177" s="3"/>
      <c r="GX177" s="3">
        <v>0</v>
      </c>
    </row>
    <row r="179" spans="1:206" x14ac:dyDescent="0.2">
      <c r="A179" s="4">
        <v>50</v>
      </c>
      <c r="B179" s="4">
        <v>0</v>
      </c>
      <c r="C179" s="4">
        <v>0</v>
      </c>
      <c r="D179" s="4">
        <v>1</v>
      </c>
      <c r="E179" s="4">
        <v>201</v>
      </c>
      <c r="F179" s="4">
        <f>ROUND(Source!O177,O179)</f>
        <v>104180.77</v>
      </c>
      <c r="G179" s="4" t="s">
        <v>69</v>
      </c>
      <c r="H179" s="4" t="s">
        <v>70</v>
      </c>
      <c r="I179" s="4"/>
      <c r="J179" s="4"/>
      <c r="K179" s="4">
        <v>201</v>
      </c>
      <c r="L179" s="4">
        <v>1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>
        <v>104180.77</v>
      </c>
      <c r="X179" s="4">
        <v>1</v>
      </c>
      <c r="Y179" s="4">
        <v>104180.77</v>
      </c>
      <c r="Z179" s="4"/>
      <c r="AA179" s="4"/>
      <c r="AB179" s="4"/>
    </row>
    <row r="180" spans="1:206" x14ac:dyDescent="0.2">
      <c r="A180" s="4">
        <v>50</v>
      </c>
      <c r="B180" s="4">
        <v>0</v>
      </c>
      <c r="C180" s="4">
        <v>0</v>
      </c>
      <c r="D180" s="4">
        <v>1</v>
      </c>
      <c r="E180" s="4">
        <v>202</v>
      </c>
      <c r="F180" s="4">
        <f>ROUND(Source!P177,O180)</f>
        <v>0</v>
      </c>
      <c r="G180" s="4" t="s">
        <v>71</v>
      </c>
      <c r="H180" s="4" t="s">
        <v>72</v>
      </c>
      <c r="I180" s="4"/>
      <c r="J180" s="4"/>
      <c r="K180" s="4">
        <v>202</v>
      </c>
      <c r="L180" s="4">
        <v>2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>
        <v>0</v>
      </c>
      <c r="X180" s="4">
        <v>1</v>
      </c>
      <c r="Y180" s="4">
        <v>0</v>
      </c>
      <c r="Z180" s="4"/>
      <c r="AA180" s="4"/>
      <c r="AB180" s="4"/>
    </row>
    <row r="181" spans="1:206" x14ac:dyDescent="0.2">
      <c r="A181" s="4">
        <v>50</v>
      </c>
      <c r="B181" s="4">
        <v>0</v>
      </c>
      <c r="C181" s="4">
        <v>0</v>
      </c>
      <c r="D181" s="4">
        <v>1</v>
      </c>
      <c r="E181" s="4">
        <v>222</v>
      </c>
      <c r="F181" s="4">
        <f>ROUND(Source!AO177,O181)</f>
        <v>0</v>
      </c>
      <c r="G181" s="4" t="s">
        <v>73</v>
      </c>
      <c r="H181" s="4" t="s">
        <v>74</v>
      </c>
      <c r="I181" s="4"/>
      <c r="J181" s="4"/>
      <c r="K181" s="4">
        <v>222</v>
      </c>
      <c r="L181" s="4">
        <v>3</v>
      </c>
      <c r="M181" s="4">
        <v>3</v>
      </c>
      <c r="N181" s="4" t="s">
        <v>3</v>
      </c>
      <c r="O181" s="4">
        <v>2</v>
      </c>
      <c r="P181" s="4"/>
      <c r="Q181" s="4"/>
      <c r="R181" s="4"/>
      <c r="S181" s="4"/>
      <c r="T181" s="4"/>
      <c r="U181" s="4"/>
      <c r="V181" s="4"/>
      <c r="W181" s="4">
        <v>0</v>
      </c>
      <c r="X181" s="4">
        <v>1</v>
      </c>
      <c r="Y181" s="4">
        <v>0</v>
      </c>
      <c r="Z181" s="4"/>
      <c r="AA181" s="4"/>
      <c r="AB181" s="4"/>
    </row>
    <row r="182" spans="1:206" x14ac:dyDescent="0.2">
      <c r="A182" s="4">
        <v>50</v>
      </c>
      <c r="B182" s="4">
        <v>0</v>
      </c>
      <c r="C182" s="4">
        <v>0</v>
      </c>
      <c r="D182" s="4">
        <v>1</v>
      </c>
      <c r="E182" s="4">
        <v>225</v>
      </c>
      <c r="F182" s="4">
        <f>ROUND(Source!AV177,O182)</f>
        <v>0</v>
      </c>
      <c r="G182" s="4" t="s">
        <v>75</v>
      </c>
      <c r="H182" s="4" t="s">
        <v>76</v>
      </c>
      <c r="I182" s="4"/>
      <c r="J182" s="4"/>
      <c r="K182" s="4">
        <v>225</v>
      </c>
      <c r="L182" s="4">
        <v>4</v>
      </c>
      <c r="M182" s="4">
        <v>3</v>
      </c>
      <c r="N182" s="4" t="s">
        <v>3</v>
      </c>
      <c r="O182" s="4">
        <v>2</v>
      </c>
      <c r="P182" s="4"/>
      <c r="Q182" s="4"/>
      <c r="R182" s="4"/>
      <c r="S182" s="4"/>
      <c r="T182" s="4"/>
      <c r="U182" s="4"/>
      <c r="V182" s="4"/>
      <c r="W182" s="4">
        <v>0</v>
      </c>
      <c r="X182" s="4">
        <v>1</v>
      </c>
      <c r="Y182" s="4">
        <v>0</v>
      </c>
      <c r="Z182" s="4"/>
      <c r="AA182" s="4"/>
      <c r="AB182" s="4"/>
    </row>
    <row r="183" spans="1:206" x14ac:dyDescent="0.2">
      <c r="A183" s="4">
        <v>50</v>
      </c>
      <c r="B183" s="4">
        <v>0</v>
      </c>
      <c r="C183" s="4">
        <v>0</v>
      </c>
      <c r="D183" s="4">
        <v>1</v>
      </c>
      <c r="E183" s="4">
        <v>226</v>
      </c>
      <c r="F183" s="4">
        <f>ROUND(Source!AW177,O183)</f>
        <v>0</v>
      </c>
      <c r="G183" s="4" t="s">
        <v>77</v>
      </c>
      <c r="H183" s="4" t="s">
        <v>78</v>
      </c>
      <c r="I183" s="4"/>
      <c r="J183" s="4"/>
      <c r="K183" s="4">
        <v>226</v>
      </c>
      <c r="L183" s="4">
        <v>5</v>
      </c>
      <c r="M183" s="4">
        <v>3</v>
      </c>
      <c r="N183" s="4" t="s">
        <v>3</v>
      </c>
      <c r="O183" s="4">
        <v>2</v>
      </c>
      <c r="P183" s="4"/>
      <c r="Q183" s="4"/>
      <c r="R183" s="4"/>
      <c r="S183" s="4"/>
      <c r="T183" s="4"/>
      <c r="U183" s="4"/>
      <c r="V183" s="4"/>
      <c r="W183" s="4">
        <v>0</v>
      </c>
      <c r="X183" s="4">
        <v>1</v>
      </c>
      <c r="Y183" s="4">
        <v>0</v>
      </c>
      <c r="Z183" s="4"/>
      <c r="AA183" s="4"/>
      <c r="AB183" s="4"/>
    </row>
    <row r="184" spans="1:206" x14ac:dyDescent="0.2">
      <c r="A184" s="4">
        <v>50</v>
      </c>
      <c r="B184" s="4">
        <v>0</v>
      </c>
      <c r="C184" s="4">
        <v>0</v>
      </c>
      <c r="D184" s="4">
        <v>1</v>
      </c>
      <c r="E184" s="4">
        <v>227</v>
      </c>
      <c r="F184" s="4">
        <f>ROUND(Source!AX177,O184)</f>
        <v>0</v>
      </c>
      <c r="G184" s="4" t="s">
        <v>79</v>
      </c>
      <c r="H184" s="4" t="s">
        <v>80</v>
      </c>
      <c r="I184" s="4"/>
      <c r="J184" s="4"/>
      <c r="K184" s="4">
        <v>227</v>
      </c>
      <c r="L184" s="4">
        <v>6</v>
      </c>
      <c r="M184" s="4">
        <v>3</v>
      </c>
      <c r="N184" s="4" t="s">
        <v>3</v>
      </c>
      <c r="O184" s="4">
        <v>2</v>
      </c>
      <c r="P184" s="4"/>
      <c r="Q184" s="4"/>
      <c r="R184" s="4"/>
      <c r="S184" s="4"/>
      <c r="T184" s="4"/>
      <c r="U184" s="4"/>
      <c r="V184" s="4"/>
      <c r="W184" s="4">
        <v>0</v>
      </c>
      <c r="X184" s="4">
        <v>1</v>
      </c>
      <c r="Y184" s="4">
        <v>0</v>
      </c>
      <c r="Z184" s="4"/>
      <c r="AA184" s="4"/>
      <c r="AB184" s="4"/>
    </row>
    <row r="185" spans="1:206" x14ac:dyDescent="0.2">
      <c r="A185" s="4">
        <v>50</v>
      </c>
      <c r="B185" s="4">
        <v>0</v>
      </c>
      <c r="C185" s="4">
        <v>0</v>
      </c>
      <c r="D185" s="4">
        <v>1</v>
      </c>
      <c r="E185" s="4">
        <v>228</v>
      </c>
      <c r="F185" s="4">
        <f>ROUND(Source!AY177,O185)</f>
        <v>0</v>
      </c>
      <c r="G185" s="4" t="s">
        <v>81</v>
      </c>
      <c r="H185" s="4" t="s">
        <v>82</v>
      </c>
      <c r="I185" s="4"/>
      <c r="J185" s="4"/>
      <c r="K185" s="4">
        <v>228</v>
      </c>
      <c r="L185" s="4">
        <v>7</v>
      </c>
      <c r="M185" s="4">
        <v>3</v>
      </c>
      <c r="N185" s="4" t="s">
        <v>3</v>
      </c>
      <c r="O185" s="4">
        <v>2</v>
      </c>
      <c r="P185" s="4"/>
      <c r="Q185" s="4"/>
      <c r="R185" s="4"/>
      <c r="S185" s="4"/>
      <c r="T185" s="4"/>
      <c r="U185" s="4"/>
      <c r="V185" s="4"/>
      <c r="W185" s="4">
        <v>0</v>
      </c>
      <c r="X185" s="4">
        <v>1</v>
      </c>
      <c r="Y185" s="4">
        <v>0</v>
      </c>
      <c r="Z185" s="4"/>
      <c r="AA185" s="4"/>
      <c r="AB185" s="4"/>
    </row>
    <row r="186" spans="1:206" x14ac:dyDescent="0.2">
      <c r="A186" s="4">
        <v>50</v>
      </c>
      <c r="B186" s="4">
        <v>0</v>
      </c>
      <c r="C186" s="4">
        <v>0</v>
      </c>
      <c r="D186" s="4">
        <v>1</v>
      </c>
      <c r="E186" s="4">
        <v>216</v>
      </c>
      <c r="F186" s="4">
        <f>ROUND(Source!AP177,O186)</f>
        <v>0</v>
      </c>
      <c r="G186" s="4" t="s">
        <v>83</v>
      </c>
      <c r="H186" s="4" t="s">
        <v>84</v>
      </c>
      <c r="I186" s="4"/>
      <c r="J186" s="4"/>
      <c r="K186" s="4">
        <v>216</v>
      </c>
      <c r="L186" s="4">
        <v>8</v>
      </c>
      <c r="M186" s="4">
        <v>3</v>
      </c>
      <c r="N186" s="4" t="s">
        <v>3</v>
      </c>
      <c r="O186" s="4">
        <v>2</v>
      </c>
      <c r="P186" s="4"/>
      <c r="Q186" s="4"/>
      <c r="R186" s="4"/>
      <c r="S186" s="4"/>
      <c r="T186" s="4"/>
      <c r="U186" s="4"/>
      <c r="V186" s="4"/>
      <c r="W186" s="4">
        <v>0</v>
      </c>
      <c r="X186" s="4">
        <v>1</v>
      </c>
      <c r="Y186" s="4">
        <v>0</v>
      </c>
      <c r="Z186" s="4"/>
      <c r="AA186" s="4"/>
      <c r="AB186" s="4"/>
    </row>
    <row r="187" spans="1:206" x14ac:dyDescent="0.2">
      <c r="A187" s="4">
        <v>50</v>
      </c>
      <c r="B187" s="4">
        <v>0</v>
      </c>
      <c r="C187" s="4">
        <v>0</v>
      </c>
      <c r="D187" s="4">
        <v>1</v>
      </c>
      <c r="E187" s="4">
        <v>223</v>
      </c>
      <c r="F187" s="4">
        <f>ROUND(Source!AQ177,O187)</f>
        <v>0</v>
      </c>
      <c r="G187" s="4" t="s">
        <v>85</v>
      </c>
      <c r="H187" s="4" t="s">
        <v>86</v>
      </c>
      <c r="I187" s="4"/>
      <c r="J187" s="4"/>
      <c r="K187" s="4">
        <v>223</v>
      </c>
      <c r="L187" s="4">
        <v>9</v>
      </c>
      <c r="M187" s="4">
        <v>3</v>
      </c>
      <c r="N187" s="4" t="s">
        <v>3</v>
      </c>
      <c r="O187" s="4">
        <v>2</v>
      </c>
      <c r="P187" s="4"/>
      <c r="Q187" s="4"/>
      <c r="R187" s="4"/>
      <c r="S187" s="4"/>
      <c r="T187" s="4"/>
      <c r="U187" s="4"/>
      <c r="V187" s="4"/>
      <c r="W187" s="4">
        <v>0</v>
      </c>
      <c r="X187" s="4">
        <v>1</v>
      </c>
      <c r="Y187" s="4">
        <v>0</v>
      </c>
      <c r="Z187" s="4"/>
      <c r="AA187" s="4"/>
      <c r="AB187" s="4"/>
    </row>
    <row r="188" spans="1:206" x14ac:dyDescent="0.2">
      <c r="A188" s="4">
        <v>50</v>
      </c>
      <c r="B188" s="4">
        <v>0</v>
      </c>
      <c r="C188" s="4">
        <v>0</v>
      </c>
      <c r="D188" s="4">
        <v>1</v>
      </c>
      <c r="E188" s="4">
        <v>229</v>
      </c>
      <c r="F188" s="4">
        <f>ROUND(Source!AZ177,O188)</f>
        <v>0</v>
      </c>
      <c r="G188" s="4" t="s">
        <v>87</v>
      </c>
      <c r="H188" s="4" t="s">
        <v>88</v>
      </c>
      <c r="I188" s="4"/>
      <c r="J188" s="4"/>
      <c r="K188" s="4">
        <v>229</v>
      </c>
      <c r="L188" s="4">
        <v>10</v>
      </c>
      <c r="M188" s="4">
        <v>3</v>
      </c>
      <c r="N188" s="4" t="s">
        <v>3</v>
      </c>
      <c r="O188" s="4">
        <v>2</v>
      </c>
      <c r="P188" s="4"/>
      <c r="Q188" s="4"/>
      <c r="R188" s="4"/>
      <c r="S188" s="4"/>
      <c r="T188" s="4"/>
      <c r="U188" s="4"/>
      <c r="V188" s="4"/>
      <c r="W188" s="4">
        <v>0</v>
      </c>
      <c r="X188" s="4">
        <v>1</v>
      </c>
      <c r="Y188" s="4">
        <v>0</v>
      </c>
      <c r="Z188" s="4"/>
      <c r="AA188" s="4"/>
      <c r="AB188" s="4"/>
    </row>
    <row r="189" spans="1:206" x14ac:dyDescent="0.2">
      <c r="A189" s="4">
        <v>50</v>
      </c>
      <c r="B189" s="4">
        <v>0</v>
      </c>
      <c r="C189" s="4">
        <v>0</v>
      </c>
      <c r="D189" s="4">
        <v>1</v>
      </c>
      <c r="E189" s="4">
        <v>203</v>
      </c>
      <c r="F189" s="4">
        <f>ROUND(Source!Q177,O189)</f>
        <v>0</v>
      </c>
      <c r="G189" s="4" t="s">
        <v>89</v>
      </c>
      <c r="H189" s="4" t="s">
        <v>90</v>
      </c>
      <c r="I189" s="4"/>
      <c r="J189" s="4"/>
      <c r="K189" s="4">
        <v>203</v>
      </c>
      <c r="L189" s="4">
        <v>11</v>
      </c>
      <c r="M189" s="4">
        <v>3</v>
      </c>
      <c r="N189" s="4" t="s">
        <v>3</v>
      </c>
      <c r="O189" s="4">
        <v>2</v>
      </c>
      <c r="P189" s="4"/>
      <c r="Q189" s="4"/>
      <c r="R189" s="4"/>
      <c r="S189" s="4"/>
      <c r="T189" s="4"/>
      <c r="U189" s="4"/>
      <c r="V189" s="4"/>
      <c r="W189" s="4">
        <v>0</v>
      </c>
      <c r="X189" s="4">
        <v>1</v>
      </c>
      <c r="Y189" s="4">
        <v>0</v>
      </c>
      <c r="Z189" s="4"/>
      <c r="AA189" s="4"/>
      <c r="AB189" s="4"/>
    </row>
    <row r="190" spans="1:206" x14ac:dyDescent="0.2">
      <c r="A190" s="4">
        <v>50</v>
      </c>
      <c r="B190" s="4">
        <v>0</v>
      </c>
      <c r="C190" s="4">
        <v>0</v>
      </c>
      <c r="D190" s="4">
        <v>1</v>
      </c>
      <c r="E190" s="4">
        <v>231</v>
      </c>
      <c r="F190" s="4">
        <f>ROUND(Source!BB177,O190)</f>
        <v>0</v>
      </c>
      <c r="G190" s="4" t="s">
        <v>91</v>
      </c>
      <c r="H190" s="4" t="s">
        <v>92</v>
      </c>
      <c r="I190" s="4"/>
      <c r="J190" s="4"/>
      <c r="K190" s="4">
        <v>231</v>
      </c>
      <c r="L190" s="4">
        <v>12</v>
      </c>
      <c r="M190" s="4">
        <v>3</v>
      </c>
      <c r="N190" s="4" t="s">
        <v>3</v>
      </c>
      <c r="O190" s="4">
        <v>2</v>
      </c>
      <c r="P190" s="4"/>
      <c r="Q190" s="4"/>
      <c r="R190" s="4"/>
      <c r="S190" s="4"/>
      <c r="T190" s="4"/>
      <c r="U190" s="4"/>
      <c r="V190" s="4"/>
      <c r="W190" s="4">
        <v>0</v>
      </c>
      <c r="X190" s="4">
        <v>1</v>
      </c>
      <c r="Y190" s="4">
        <v>0</v>
      </c>
      <c r="Z190" s="4"/>
      <c r="AA190" s="4"/>
      <c r="AB190" s="4"/>
    </row>
    <row r="191" spans="1:206" x14ac:dyDescent="0.2">
      <c r="A191" s="4">
        <v>50</v>
      </c>
      <c r="B191" s="4">
        <v>0</v>
      </c>
      <c r="C191" s="4">
        <v>0</v>
      </c>
      <c r="D191" s="4">
        <v>1</v>
      </c>
      <c r="E191" s="4">
        <v>204</v>
      </c>
      <c r="F191" s="4">
        <f>ROUND(Source!R177,O191)</f>
        <v>0</v>
      </c>
      <c r="G191" s="4" t="s">
        <v>93</v>
      </c>
      <c r="H191" s="4" t="s">
        <v>94</v>
      </c>
      <c r="I191" s="4"/>
      <c r="J191" s="4"/>
      <c r="K191" s="4">
        <v>204</v>
      </c>
      <c r="L191" s="4">
        <v>13</v>
      </c>
      <c r="M191" s="4">
        <v>3</v>
      </c>
      <c r="N191" s="4" t="s">
        <v>3</v>
      </c>
      <c r="O191" s="4">
        <v>2</v>
      </c>
      <c r="P191" s="4"/>
      <c r="Q191" s="4"/>
      <c r="R191" s="4"/>
      <c r="S191" s="4"/>
      <c r="T191" s="4"/>
      <c r="U191" s="4"/>
      <c r="V191" s="4"/>
      <c r="W191" s="4">
        <v>0</v>
      </c>
      <c r="X191" s="4">
        <v>1</v>
      </c>
      <c r="Y191" s="4">
        <v>0</v>
      </c>
      <c r="Z191" s="4"/>
      <c r="AA191" s="4"/>
      <c r="AB191" s="4"/>
    </row>
    <row r="192" spans="1:206" x14ac:dyDescent="0.2">
      <c r="A192" s="4">
        <v>50</v>
      </c>
      <c r="B192" s="4">
        <v>0</v>
      </c>
      <c r="C192" s="4">
        <v>0</v>
      </c>
      <c r="D192" s="4">
        <v>1</v>
      </c>
      <c r="E192" s="4">
        <v>205</v>
      </c>
      <c r="F192" s="4">
        <f>ROUND(Source!S177,O192)</f>
        <v>104180.77</v>
      </c>
      <c r="G192" s="4" t="s">
        <v>95</v>
      </c>
      <c r="H192" s="4" t="s">
        <v>96</v>
      </c>
      <c r="I192" s="4"/>
      <c r="J192" s="4"/>
      <c r="K192" s="4">
        <v>205</v>
      </c>
      <c r="L192" s="4">
        <v>14</v>
      </c>
      <c r="M192" s="4">
        <v>3</v>
      </c>
      <c r="N192" s="4" t="s">
        <v>3</v>
      </c>
      <c r="O192" s="4">
        <v>2</v>
      </c>
      <c r="P192" s="4"/>
      <c r="Q192" s="4"/>
      <c r="R192" s="4"/>
      <c r="S192" s="4"/>
      <c r="T192" s="4"/>
      <c r="U192" s="4"/>
      <c r="V192" s="4"/>
      <c r="W192" s="4">
        <v>104180.77</v>
      </c>
      <c r="X192" s="4">
        <v>1</v>
      </c>
      <c r="Y192" s="4">
        <v>104180.77</v>
      </c>
      <c r="Z192" s="4"/>
      <c r="AA192" s="4"/>
      <c r="AB192" s="4"/>
    </row>
    <row r="193" spans="1:206" x14ac:dyDescent="0.2">
      <c r="A193" s="4">
        <v>50</v>
      </c>
      <c r="B193" s="4">
        <v>0</v>
      </c>
      <c r="C193" s="4">
        <v>0</v>
      </c>
      <c r="D193" s="4">
        <v>1</v>
      </c>
      <c r="E193" s="4">
        <v>232</v>
      </c>
      <c r="F193" s="4">
        <f>ROUND(Source!BC177,O193)</f>
        <v>0</v>
      </c>
      <c r="G193" s="4" t="s">
        <v>97</v>
      </c>
      <c r="H193" s="4" t="s">
        <v>98</v>
      </c>
      <c r="I193" s="4"/>
      <c r="J193" s="4"/>
      <c r="K193" s="4">
        <v>232</v>
      </c>
      <c r="L193" s="4">
        <v>15</v>
      </c>
      <c r="M193" s="4">
        <v>3</v>
      </c>
      <c r="N193" s="4" t="s">
        <v>3</v>
      </c>
      <c r="O193" s="4">
        <v>2</v>
      </c>
      <c r="P193" s="4"/>
      <c r="Q193" s="4"/>
      <c r="R193" s="4"/>
      <c r="S193" s="4"/>
      <c r="T193" s="4"/>
      <c r="U193" s="4"/>
      <c r="V193" s="4"/>
      <c r="W193" s="4">
        <v>0</v>
      </c>
      <c r="X193" s="4">
        <v>1</v>
      </c>
      <c r="Y193" s="4">
        <v>0</v>
      </c>
      <c r="Z193" s="4"/>
      <c r="AA193" s="4"/>
      <c r="AB193" s="4"/>
    </row>
    <row r="194" spans="1:206" x14ac:dyDescent="0.2">
      <c r="A194" s="4">
        <v>50</v>
      </c>
      <c r="B194" s="4">
        <v>0</v>
      </c>
      <c r="C194" s="4">
        <v>0</v>
      </c>
      <c r="D194" s="4">
        <v>1</v>
      </c>
      <c r="E194" s="4">
        <v>214</v>
      </c>
      <c r="F194" s="4">
        <f>ROUND(Source!AS177,O194)</f>
        <v>0</v>
      </c>
      <c r="G194" s="4" t="s">
        <v>99</v>
      </c>
      <c r="H194" s="4" t="s">
        <v>100</v>
      </c>
      <c r="I194" s="4"/>
      <c r="J194" s="4"/>
      <c r="K194" s="4">
        <v>214</v>
      </c>
      <c r="L194" s="4">
        <v>16</v>
      </c>
      <c r="M194" s="4">
        <v>3</v>
      </c>
      <c r="N194" s="4" t="s">
        <v>3</v>
      </c>
      <c r="O194" s="4">
        <v>2</v>
      </c>
      <c r="P194" s="4"/>
      <c r="Q194" s="4"/>
      <c r="R194" s="4"/>
      <c r="S194" s="4"/>
      <c r="T194" s="4"/>
      <c r="U194" s="4"/>
      <c r="V194" s="4"/>
      <c r="W194" s="4">
        <v>0</v>
      </c>
      <c r="X194" s="4">
        <v>1</v>
      </c>
      <c r="Y194" s="4">
        <v>0</v>
      </c>
      <c r="Z194" s="4"/>
      <c r="AA194" s="4"/>
      <c r="AB194" s="4"/>
    </row>
    <row r="195" spans="1:206" x14ac:dyDescent="0.2">
      <c r="A195" s="4">
        <v>50</v>
      </c>
      <c r="B195" s="4">
        <v>0</v>
      </c>
      <c r="C195" s="4">
        <v>0</v>
      </c>
      <c r="D195" s="4">
        <v>1</v>
      </c>
      <c r="E195" s="4">
        <v>215</v>
      </c>
      <c r="F195" s="4">
        <f>ROUND(Source!AT177,O195)</f>
        <v>0</v>
      </c>
      <c r="G195" s="4" t="s">
        <v>101</v>
      </c>
      <c r="H195" s="4" t="s">
        <v>102</v>
      </c>
      <c r="I195" s="4"/>
      <c r="J195" s="4"/>
      <c r="K195" s="4">
        <v>215</v>
      </c>
      <c r="L195" s="4">
        <v>17</v>
      </c>
      <c r="M195" s="4">
        <v>3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>
        <v>0</v>
      </c>
      <c r="X195" s="4">
        <v>1</v>
      </c>
      <c r="Y195" s="4">
        <v>0</v>
      </c>
      <c r="Z195" s="4"/>
      <c r="AA195" s="4"/>
      <c r="AB195" s="4"/>
    </row>
    <row r="196" spans="1:206" x14ac:dyDescent="0.2">
      <c r="A196" s="4">
        <v>50</v>
      </c>
      <c r="B196" s="4">
        <v>0</v>
      </c>
      <c r="C196" s="4">
        <v>0</v>
      </c>
      <c r="D196" s="4">
        <v>1</v>
      </c>
      <c r="E196" s="4">
        <v>217</v>
      </c>
      <c r="F196" s="4">
        <f>ROUND(Source!AU177,O196)</f>
        <v>219821.44</v>
      </c>
      <c r="G196" s="4" t="s">
        <v>103</v>
      </c>
      <c r="H196" s="4" t="s">
        <v>104</v>
      </c>
      <c r="I196" s="4"/>
      <c r="J196" s="4"/>
      <c r="K196" s="4">
        <v>217</v>
      </c>
      <c r="L196" s="4">
        <v>18</v>
      </c>
      <c r="M196" s="4">
        <v>3</v>
      </c>
      <c r="N196" s="4" t="s">
        <v>3</v>
      </c>
      <c r="O196" s="4">
        <v>2</v>
      </c>
      <c r="P196" s="4"/>
      <c r="Q196" s="4"/>
      <c r="R196" s="4"/>
      <c r="S196" s="4"/>
      <c r="T196" s="4"/>
      <c r="U196" s="4"/>
      <c r="V196" s="4"/>
      <c r="W196" s="4">
        <v>219821.44</v>
      </c>
      <c r="X196" s="4">
        <v>1</v>
      </c>
      <c r="Y196" s="4">
        <v>219821.44</v>
      </c>
      <c r="Z196" s="4"/>
      <c r="AA196" s="4"/>
      <c r="AB196" s="4"/>
    </row>
    <row r="197" spans="1:206" x14ac:dyDescent="0.2">
      <c r="A197" s="4">
        <v>50</v>
      </c>
      <c r="B197" s="4">
        <v>0</v>
      </c>
      <c r="C197" s="4">
        <v>0</v>
      </c>
      <c r="D197" s="4">
        <v>1</v>
      </c>
      <c r="E197" s="4">
        <v>230</v>
      </c>
      <c r="F197" s="4">
        <f>ROUND(Source!BA177,O197)</f>
        <v>0</v>
      </c>
      <c r="G197" s="4" t="s">
        <v>105</v>
      </c>
      <c r="H197" s="4" t="s">
        <v>106</v>
      </c>
      <c r="I197" s="4"/>
      <c r="J197" s="4"/>
      <c r="K197" s="4">
        <v>230</v>
      </c>
      <c r="L197" s="4">
        <v>19</v>
      </c>
      <c r="M197" s="4">
        <v>3</v>
      </c>
      <c r="N197" s="4" t="s">
        <v>3</v>
      </c>
      <c r="O197" s="4">
        <v>2</v>
      </c>
      <c r="P197" s="4"/>
      <c r="Q197" s="4"/>
      <c r="R197" s="4"/>
      <c r="S197" s="4"/>
      <c r="T197" s="4"/>
      <c r="U197" s="4"/>
      <c r="V197" s="4"/>
      <c r="W197" s="4">
        <v>0</v>
      </c>
      <c r="X197" s="4">
        <v>1</v>
      </c>
      <c r="Y197" s="4">
        <v>0</v>
      </c>
      <c r="Z197" s="4"/>
      <c r="AA197" s="4"/>
      <c r="AB197" s="4"/>
    </row>
    <row r="198" spans="1:206" x14ac:dyDescent="0.2">
      <c r="A198" s="4">
        <v>50</v>
      </c>
      <c r="B198" s="4">
        <v>0</v>
      </c>
      <c r="C198" s="4">
        <v>0</v>
      </c>
      <c r="D198" s="4">
        <v>1</v>
      </c>
      <c r="E198" s="4">
        <v>206</v>
      </c>
      <c r="F198" s="4">
        <f>ROUND(Source!T177,O198)</f>
        <v>0</v>
      </c>
      <c r="G198" s="4" t="s">
        <v>107</v>
      </c>
      <c r="H198" s="4" t="s">
        <v>108</v>
      </c>
      <c r="I198" s="4"/>
      <c r="J198" s="4"/>
      <c r="K198" s="4">
        <v>206</v>
      </c>
      <c r="L198" s="4">
        <v>20</v>
      </c>
      <c r="M198" s="4">
        <v>3</v>
      </c>
      <c r="N198" s="4" t="s">
        <v>3</v>
      </c>
      <c r="O198" s="4">
        <v>2</v>
      </c>
      <c r="P198" s="4"/>
      <c r="Q198" s="4"/>
      <c r="R198" s="4"/>
      <c r="S198" s="4"/>
      <c r="T198" s="4"/>
      <c r="U198" s="4"/>
      <c r="V198" s="4"/>
      <c r="W198" s="4">
        <v>0</v>
      </c>
      <c r="X198" s="4">
        <v>1</v>
      </c>
      <c r="Y198" s="4">
        <v>0</v>
      </c>
      <c r="Z198" s="4"/>
      <c r="AA198" s="4"/>
      <c r="AB198" s="4"/>
    </row>
    <row r="199" spans="1:206" x14ac:dyDescent="0.2">
      <c r="A199" s="4">
        <v>50</v>
      </c>
      <c r="B199" s="4">
        <v>0</v>
      </c>
      <c r="C199" s="4">
        <v>0</v>
      </c>
      <c r="D199" s="4">
        <v>1</v>
      </c>
      <c r="E199" s="4">
        <v>207</v>
      </c>
      <c r="F199" s="4">
        <f>Source!U177</f>
        <v>224.99999999999997</v>
      </c>
      <c r="G199" s="4" t="s">
        <v>109</v>
      </c>
      <c r="H199" s="4" t="s">
        <v>110</v>
      </c>
      <c r="I199" s="4"/>
      <c r="J199" s="4"/>
      <c r="K199" s="4">
        <v>207</v>
      </c>
      <c r="L199" s="4">
        <v>21</v>
      </c>
      <c r="M199" s="4">
        <v>3</v>
      </c>
      <c r="N199" s="4" t="s">
        <v>3</v>
      </c>
      <c r="O199" s="4">
        <v>-1</v>
      </c>
      <c r="P199" s="4"/>
      <c r="Q199" s="4"/>
      <c r="R199" s="4"/>
      <c r="S199" s="4"/>
      <c r="T199" s="4"/>
      <c r="U199" s="4"/>
      <c r="V199" s="4"/>
      <c r="W199" s="4">
        <v>224.99999999999997</v>
      </c>
      <c r="X199" s="4">
        <v>1</v>
      </c>
      <c r="Y199" s="4">
        <v>224.99999999999997</v>
      </c>
      <c r="Z199" s="4"/>
      <c r="AA199" s="4"/>
      <c r="AB199" s="4"/>
    </row>
    <row r="200" spans="1:206" x14ac:dyDescent="0.2">
      <c r="A200" s="4">
        <v>50</v>
      </c>
      <c r="B200" s="4">
        <v>0</v>
      </c>
      <c r="C200" s="4">
        <v>0</v>
      </c>
      <c r="D200" s="4">
        <v>1</v>
      </c>
      <c r="E200" s="4">
        <v>208</v>
      </c>
      <c r="F200" s="4">
        <f>Source!V177</f>
        <v>0</v>
      </c>
      <c r="G200" s="4" t="s">
        <v>111</v>
      </c>
      <c r="H200" s="4" t="s">
        <v>112</v>
      </c>
      <c r="I200" s="4"/>
      <c r="J200" s="4"/>
      <c r="K200" s="4">
        <v>208</v>
      </c>
      <c r="L200" s="4">
        <v>22</v>
      </c>
      <c r="M200" s="4">
        <v>3</v>
      </c>
      <c r="N200" s="4" t="s">
        <v>3</v>
      </c>
      <c r="O200" s="4">
        <v>-1</v>
      </c>
      <c r="P200" s="4"/>
      <c r="Q200" s="4"/>
      <c r="R200" s="4"/>
      <c r="S200" s="4"/>
      <c r="T200" s="4"/>
      <c r="U200" s="4"/>
      <c r="V200" s="4"/>
      <c r="W200" s="4">
        <v>0</v>
      </c>
      <c r="X200" s="4">
        <v>1</v>
      </c>
      <c r="Y200" s="4">
        <v>0</v>
      </c>
      <c r="Z200" s="4"/>
      <c r="AA200" s="4"/>
      <c r="AB200" s="4"/>
    </row>
    <row r="201" spans="1:206" x14ac:dyDescent="0.2">
      <c r="A201" s="4">
        <v>50</v>
      </c>
      <c r="B201" s="4">
        <v>0</v>
      </c>
      <c r="C201" s="4">
        <v>0</v>
      </c>
      <c r="D201" s="4">
        <v>1</v>
      </c>
      <c r="E201" s="4">
        <v>209</v>
      </c>
      <c r="F201" s="4">
        <f>ROUND(Source!W177,O201)</f>
        <v>0</v>
      </c>
      <c r="G201" s="4" t="s">
        <v>113</v>
      </c>
      <c r="H201" s="4" t="s">
        <v>114</v>
      </c>
      <c r="I201" s="4"/>
      <c r="J201" s="4"/>
      <c r="K201" s="4">
        <v>209</v>
      </c>
      <c r="L201" s="4">
        <v>23</v>
      </c>
      <c r="M201" s="4">
        <v>3</v>
      </c>
      <c r="N201" s="4" t="s">
        <v>3</v>
      </c>
      <c r="O201" s="4">
        <v>2</v>
      </c>
      <c r="P201" s="4"/>
      <c r="Q201" s="4"/>
      <c r="R201" s="4"/>
      <c r="S201" s="4"/>
      <c r="T201" s="4"/>
      <c r="U201" s="4"/>
      <c r="V201" s="4"/>
      <c r="W201" s="4">
        <v>0</v>
      </c>
      <c r="X201" s="4">
        <v>1</v>
      </c>
      <c r="Y201" s="4">
        <v>0</v>
      </c>
      <c r="Z201" s="4"/>
      <c r="AA201" s="4"/>
      <c r="AB201" s="4"/>
    </row>
    <row r="202" spans="1:206" x14ac:dyDescent="0.2">
      <c r="A202" s="4">
        <v>50</v>
      </c>
      <c r="B202" s="4">
        <v>0</v>
      </c>
      <c r="C202" s="4">
        <v>0</v>
      </c>
      <c r="D202" s="4">
        <v>1</v>
      </c>
      <c r="E202" s="4">
        <v>233</v>
      </c>
      <c r="F202" s="4">
        <f>ROUND(Source!BD177,O202)</f>
        <v>0</v>
      </c>
      <c r="G202" s="4" t="s">
        <v>115</v>
      </c>
      <c r="H202" s="4" t="s">
        <v>116</v>
      </c>
      <c r="I202" s="4"/>
      <c r="J202" s="4"/>
      <c r="K202" s="4">
        <v>233</v>
      </c>
      <c r="L202" s="4">
        <v>24</v>
      </c>
      <c r="M202" s="4">
        <v>3</v>
      </c>
      <c r="N202" s="4" t="s">
        <v>3</v>
      </c>
      <c r="O202" s="4">
        <v>2</v>
      </c>
      <c r="P202" s="4"/>
      <c r="Q202" s="4"/>
      <c r="R202" s="4"/>
      <c r="S202" s="4"/>
      <c r="T202" s="4"/>
      <c r="U202" s="4"/>
      <c r="V202" s="4"/>
      <c r="W202" s="4">
        <v>0</v>
      </c>
      <c r="X202" s="4">
        <v>1</v>
      </c>
      <c r="Y202" s="4">
        <v>0</v>
      </c>
      <c r="Z202" s="4"/>
      <c r="AA202" s="4"/>
      <c r="AB202" s="4"/>
    </row>
    <row r="203" spans="1:206" x14ac:dyDescent="0.2">
      <c r="A203" s="4">
        <v>50</v>
      </c>
      <c r="B203" s="4">
        <v>0</v>
      </c>
      <c r="C203" s="4">
        <v>0</v>
      </c>
      <c r="D203" s="4">
        <v>1</v>
      </c>
      <c r="E203" s="4">
        <v>210</v>
      </c>
      <c r="F203" s="4">
        <f>ROUND(Source!X177,O203)</f>
        <v>72926.55</v>
      </c>
      <c r="G203" s="4" t="s">
        <v>117</v>
      </c>
      <c r="H203" s="4" t="s">
        <v>118</v>
      </c>
      <c r="I203" s="4"/>
      <c r="J203" s="4"/>
      <c r="K203" s="4">
        <v>210</v>
      </c>
      <c r="L203" s="4">
        <v>25</v>
      </c>
      <c r="M203" s="4">
        <v>3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>
        <v>72926.55</v>
      </c>
      <c r="X203" s="4">
        <v>1</v>
      </c>
      <c r="Y203" s="4">
        <v>72926.55</v>
      </c>
      <c r="Z203" s="4"/>
      <c r="AA203" s="4"/>
      <c r="AB203" s="4"/>
    </row>
    <row r="204" spans="1:206" x14ac:dyDescent="0.2">
      <c r="A204" s="4">
        <v>50</v>
      </c>
      <c r="B204" s="4">
        <v>0</v>
      </c>
      <c r="C204" s="4">
        <v>0</v>
      </c>
      <c r="D204" s="4">
        <v>1</v>
      </c>
      <c r="E204" s="4">
        <v>211</v>
      </c>
      <c r="F204" s="4">
        <f>ROUND(Source!Y177,O204)</f>
        <v>42714.12</v>
      </c>
      <c r="G204" s="4" t="s">
        <v>119</v>
      </c>
      <c r="H204" s="4" t="s">
        <v>120</v>
      </c>
      <c r="I204" s="4"/>
      <c r="J204" s="4"/>
      <c r="K204" s="4">
        <v>211</v>
      </c>
      <c r="L204" s="4">
        <v>26</v>
      </c>
      <c r="M204" s="4">
        <v>3</v>
      </c>
      <c r="N204" s="4" t="s">
        <v>3</v>
      </c>
      <c r="O204" s="4">
        <v>2</v>
      </c>
      <c r="P204" s="4"/>
      <c r="Q204" s="4"/>
      <c r="R204" s="4"/>
      <c r="S204" s="4"/>
      <c r="T204" s="4"/>
      <c r="U204" s="4"/>
      <c r="V204" s="4"/>
      <c r="W204" s="4">
        <v>42714.12</v>
      </c>
      <c r="X204" s="4">
        <v>1</v>
      </c>
      <c r="Y204" s="4">
        <v>42714.12</v>
      </c>
      <c r="Z204" s="4"/>
      <c r="AA204" s="4"/>
      <c r="AB204" s="4"/>
    </row>
    <row r="205" spans="1:206" x14ac:dyDescent="0.2">
      <c r="A205" s="4">
        <v>50</v>
      </c>
      <c r="B205" s="4">
        <v>0</v>
      </c>
      <c r="C205" s="4">
        <v>0</v>
      </c>
      <c r="D205" s="4">
        <v>1</v>
      </c>
      <c r="E205" s="4">
        <v>224</v>
      </c>
      <c r="F205" s="4">
        <f>ROUND(Source!AR177,O205)</f>
        <v>219821.44</v>
      </c>
      <c r="G205" s="4" t="s">
        <v>121</v>
      </c>
      <c r="H205" s="4" t="s">
        <v>122</v>
      </c>
      <c r="I205" s="4"/>
      <c r="J205" s="4"/>
      <c r="K205" s="4">
        <v>224</v>
      </c>
      <c r="L205" s="4">
        <v>27</v>
      </c>
      <c r="M205" s="4">
        <v>3</v>
      </c>
      <c r="N205" s="4" t="s">
        <v>3</v>
      </c>
      <c r="O205" s="4">
        <v>2</v>
      </c>
      <c r="P205" s="4"/>
      <c r="Q205" s="4"/>
      <c r="R205" s="4"/>
      <c r="S205" s="4"/>
      <c r="T205" s="4"/>
      <c r="U205" s="4"/>
      <c r="V205" s="4"/>
      <c r="W205" s="4">
        <v>219821.44</v>
      </c>
      <c r="X205" s="4">
        <v>1</v>
      </c>
      <c r="Y205" s="4">
        <v>219821.44</v>
      </c>
      <c r="Z205" s="4"/>
      <c r="AA205" s="4"/>
      <c r="AB205" s="4"/>
    </row>
    <row r="207" spans="1:206" x14ac:dyDescent="0.2">
      <c r="A207" s="2">
        <v>51</v>
      </c>
      <c r="B207" s="2">
        <f>B20</f>
        <v>1</v>
      </c>
      <c r="C207" s="2">
        <f>A20</f>
        <v>3</v>
      </c>
      <c r="D207" s="2">
        <f>ROW(A20)</f>
        <v>20</v>
      </c>
      <c r="E207" s="2"/>
      <c r="F207" s="2" t="str">
        <f>IF(F20&lt;&gt;"",F20,"")</f>
        <v>Новая локальная смета</v>
      </c>
      <c r="G207" s="2" t="str">
        <f>IF(G20&lt;&gt;"",G20,"")</f>
        <v>Реконструкция КТП-1370 с установкой новой подстанции в габаритах 630 кВА с трансформатором 630 кВА по адресу: г. Москва, пос. Рязановское, СНТ "Ветеран МО" (инв. № 43313749)", согласно ТУ от 29.12.2022 № И-22-00-587819/103/НМ от ПАО "Россети Московский регион"</v>
      </c>
      <c r="H207" s="2">
        <v>0</v>
      </c>
      <c r="I207" s="2"/>
      <c r="J207" s="2"/>
      <c r="K207" s="2"/>
      <c r="L207" s="2"/>
      <c r="M207" s="2"/>
      <c r="N207" s="2"/>
      <c r="O207" s="2">
        <f t="shared" ref="O207:T207" si="201">ROUND(O35+O92+O129+O177+AB207,2)</f>
        <v>2775461.85</v>
      </c>
      <c r="P207" s="2">
        <f t="shared" si="201"/>
        <v>2605634.96</v>
      </c>
      <c r="Q207" s="2">
        <f t="shared" si="201"/>
        <v>16175.52</v>
      </c>
      <c r="R207" s="2">
        <f t="shared" si="201"/>
        <v>6683.02</v>
      </c>
      <c r="S207" s="2">
        <f t="shared" si="201"/>
        <v>153651.37</v>
      </c>
      <c r="T207" s="2">
        <f t="shared" si="201"/>
        <v>0</v>
      </c>
      <c r="U207" s="2">
        <f>U35+U92+U129+U177+AH207</f>
        <v>367.59637970999995</v>
      </c>
      <c r="V207" s="2">
        <f>V35+V92+V129+V177+AI207</f>
        <v>0</v>
      </c>
      <c r="W207" s="2">
        <f>ROUND(W35+W92+W129+W177+AJ207,2)</f>
        <v>0</v>
      </c>
      <c r="X207" s="2">
        <f>ROUND(X35+X92+X129+X177+AK207,2)</f>
        <v>118862.46</v>
      </c>
      <c r="Y207" s="2">
        <f>ROUND(Y35+Y92+Y129+Y177+AL207,2)</f>
        <v>64236.05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>
        <f t="shared" ref="AO207:BD207" si="202">ROUND(AO35+AO92+AO129+AO177+BX207,2)</f>
        <v>0</v>
      </c>
      <c r="AP207" s="2">
        <f t="shared" si="202"/>
        <v>2560225.0299999998</v>
      </c>
      <c r="AQ207" s="2">
        <f t="shared" si="202"/>
        <v>0</v>
      </c>
      <c r="AR207" s="2">
        <f t="shared" si="202"/>
        <v>2969253.19</v>
      </c>
      <c r="AS207" s="2">
        <f t="shared" si="202"/>
        <v>72955.61</v>
      </c>
      <c r="AT207" s="2">
        <f t="shared" si="202"/>
        <v>114079.89</v>
      </c>
      <c r="AU207" s="2">
        <f t="shared" si="202"/>
        <v>221992.66</v>
      </c>
      <c r="AV207" s="2">
        <f t="shared" si="202"/>
        <v>2605634.96</v>
      </c>
      <c r="AW207" s="2">
        <f t="shared" si="202"/>
        <v>45409.93</v>
      </c>
      <c r="AX207" s="2">
        <f t="shared" si="202"/>
        <v>0</v>
      </c>
      <c r="AY207" s="2">
        <f t="shared" si="202"/>
        <v>45409.93</v>
      </c>
      <c r="AZ207" s="2">
        <f t="shared" si="202"/>
        <v>2560225.0299999998</v>
      </c>
      <c r="BA207" s="2">
        <f t="shared" si="202"/>
        <v>0</v>
      </c>
      <c r="BB207" s="2">
        <f t="shared" si="202"/>
        <v>0</v>
      </c>
      <c r="BC207" s="2">
        <f t="shared" si="202"/>
        <v>0</v>
      </c>
      <c r="BD207" s="2">
        <f t="shared" si="202"/>
        <v>0</v>
      </c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  <c r="BY207" s="2"/>
      <c r="BZ207" s="2"/>
      <c r="CA207" s="2"/>
      <c r="CB207" s="2"/>
      <c r="CC207" s="2"/>
      <c r="CD207" s="2"/>
      <c r="CE207" s="2"/>
      <c r="CF207" s="2"/>
      <c r="CG207" s="2"/>
      <c r="CH207" s="2"/>
      <c r="CI207" s="2"/>
      <c r="CJ207" s="2"/>
      <c r="CK207" s="2"/>
      <c r="CL207" s="2"/>
      <c r="CM207" s="2"/>
      <c r="CN207" s="2"/>
      <c r="CO207" s="2"/>
      <c r="CP207" s="2"/>
      <c r="CQ207" s="2"/>
      <c r="CR207" s="2"/>
      <c r="CS207" s="2"/>
      <c r="CT207" s="2"/>
      <c r="CU207" s="2"/>
      <c r="CV207" s="2"/>
      <c r="CW207" s="2"/>
      <c r="CX207" s="2"/>
      <c r="CY207" s="2"/>
      <c r="CZ207" s="2"/>
      <c r="DA207" s="2"/>
      <c r="DB207" s="2"/>
      <c r="DC207" s="2"/>
      <c r="DD207" s="2"/>
      <c r="DE207" s="2"/>
      <c r="DF207" s="2"/>
      <c r="DG207" s="3"/>
      <c r="DH207" s="3"/>
      <c r="DI207" s="3"/>
      <c r="DJ207" s="3"/>
      <c r="DK207" s="3"/>
      <c r="DL207" s="3"/>
      <c r="DM207" s="3"/>
      <c r="DN207" s="3"/>
      <c r="DO207" s="3"/>
      <c r="DP207" s="3"/>
      <c r="DQ207" s="3"/>
      <c r="DR207" s="3"/>
      <c r="DS207" s="3"/>
      <c r="DT207" s="3"/>
      <c r="DU207" s="3"/>
      <c r="DV207" s="3"/>
      <c r="DW207" s="3"/>
      <c r="DX207" s="3"/>
      <c r="DY207" s="3"/>
      <c r="DZ207" s="3"/>
      <c r="EA207" s="3"/>
      <c r="EB207" s="3"/>
      <c r="EC207" s="3"/>
      <c r="ED207" s="3"/>
      <c r="EE207" s="3"/>
      <c r="EF207" s="3"/>
      <c r="EG207" s="3"/>
      <c r="EH207" s="3"/>
      <c r="EI207" s="3"/>
      <c r="EJ207" s="3"/>
      <c r="EK207" s="3"/>
      <c r="EL207" s="3"/>
      <c r="EM207" s="3"/>
      <c r="EN207" s="3"/>
      <c r="EO207" s="3"/>
      <c r="EP207" s="3"/>
      <c r="EQ207" s="3"/>
      <c r="ER207" s="3"/>
      <c r="ES207" s="3"/>
      <c r="ET207" s="3"/>
      <c r="EU207" s="3"/>
      <c r="EV207" s="3"/>
      <c r="EW207" s="3"/>
      <c r="EX207" s="3"/>
      <c r="EY207" s="3"/>
      <c r="EZ207" s="3"/>
      <c r="FA207" s="3"/>
      <c r="FB207" s="3"/>
      <c r="FC207" s="3"/>
      <c r="FD207" s="3"/>
      <c r="FE207" s="3"/>
      <c r="FF207" s="3"/>
      <c r="FG207" s="3"/>
      <c r="FH207" s="3"/>
      <c r="FI207" s="3"/>
      <c r="FJ207" s="3"/>
      <c r="FK207" s="3"/>
      <c r="FL207" s="3"/>
      <c r="FM207" s="3"/>
      <c r="FN207" s="3"/>
      <c r="FO207" s="3"/>
      <c r="FP207" s="3"/>
      <c r="FQ207" s="3"/>
      <c r="FR207" s="3"/>
      <c r="FS207" s="3"/>
      <c r="FT207" s="3"/>
      <c r="FU207" s="3"/>
      <c r="FV207" s="3"/>
      <c r="FW207" s="3"/>
      <c r="FX207" s="3"/>
      <c r="FY207" s="3"/>
      <c r="FZ207" s="3"/>
      <c r="GA207" s="3"/>
      <c r="GB207" s="3"/>
      <c r="GC207" s="3"/>
      <c r="GD207" s="3"/>
      <c r="GE207" s="3"/>
      <c r="GF207" s="3"/>
      <c r="GG207" s="3"/>
      <c r="GH207" s="3"/>
      <c r="GI207" s="3"/>
      <c r="GJ207" s="3"/>
      <c r="GK207" s="3"/>
      <c r="GL207" s="3"/>
      <c r="GM207" s="3"/>
      <c r="GN207" s="3"/>
      <c r="GO207" s="3"/>
      <c r="GP207" s="3"/>
      <c r="GQ207" s="3"/>
      <c r="GR207" s="3"/>
      <c r="GS207" s="3"/>
      <c r="GT207" s="3"/>
      <c r="GU207" s="3"/>
      <c r="GV207" s="3"/>
      <c r="GW207" s="3"/>
      <c r="GX207" s="3">
        <v>0</v>
      </c>
    </row>
    <row r="209" spans="1:28" x14ac:dyDescent="0.2">
      <c r="A209" s="4">
        <v>50</v>
      </c>
      <c r="B209" s="4">
        <v>0</v>
      </c>
      <c r="C209" s="4">
        <v>0</v>
      </c>
      <c r="D209" s="4">
        <v>1</v>
      </c>
      <c r="E209" s="4">
        <v>201</v>
      </c>
      <c r="F209" s="4">
        <f>ROUND(Source!O207,O209)</f>
        <v>2775461.85</v>
      </c>
      <c r="G209" s="4" t="s">
        <v>69</v>
      </c>
      <c r="H209" s="4" t="s">
        <v>70</v>
      </c>
      <c r="I209" s="4"/>
      <c r="J209" s="4"/>
      <c r="K209" s="4">
        <v>201</v>
      </c>
      <c r="L209" s="4">
        <v>1</v>
      </c>
      <c r="M209" s="4">
        <v>3</v>
      </c>
      <c r="N209" s="4" t="s">
        <v>3</v>
      </c>
      <c r="O209" s="4">
        <v>2</v>
      </c>
      <c r="P209" s="4"/>
      <c r="Q209" s="4"/>
      <c r="R209" s="4"/>
      <c r="S209" s="4"/>
      <c r="T209" s="4"/>
      <c r="U209" s="4"/>
      <c r="V209" s="4"/>
      <c r="W209" s="4">
        <v>2775461.85</v>
      </c>
      <c r="X209" s="4">
        <v>1</v>
      </c>
      <c r="Y209" s="4">
        <v>2775461.85</v>
      </c>
      <c r="Z209" s="4"/>
      <c r="AA209" s="4"/>
      <c r="AB209" s="4"/>
    </row>
    <row r="210" spans="1:28" x14ac:dyDescent="0.2">
      <c r="A210" s="4">
        <v>50</v>
      </c>
      <c r="B210" s="4">
        <v>0</v>
      </c>
      <c r="C210" s="4">
        <v>0</v>
      </c>
      <c r="D210" s="4">
        <v>1</v>
      </c>
      <c r="E210" s="4">
        <v>202</v>
      </c>
      <c r="F210" s="4">
        <f>ROUND(Source!P207,O210)</f>
        <v>2605634.96</v>
      </c>
      <c r="G210" s="4" t="s">
        <v>71</v>
      </c>
      <c r="H210" s="4" t="s">
        <v>72</v>
      </c>
      <c r="I210" s="4"/>
      <c r="J210" s="4"/>
      <c r="K210" s="4">
        <v>202</v>
      </c>
      <c r="L210" s="4">
        <v>2</v>
      </c>
      <c r="M210" s="4">
        <v>3</v>
      </c>
      <c r="N210" s="4" t="s">
        <v>3</v>
      </c>
      <c r="O210" s="4">
        <v>2</v>
      </c>
      <c r="P210" s="4"/>
      <c r="Q210" s="4"/>
      <c r="R210" s="4"/>
      <c r="S210" s="4"/>
      <c r="T210" s="4"/>
      <c r="U210" s="4"/>
      <c r="V210" s="4"/>
      <c r="W210" s="4">
        <v>2605634.96</v>
      </c>
      <c r="X210" s="4">
        <v>1</v>
      </c>
      <c r="Y210" s="4">
        <v>2605634.96</v>
      </c>
      <c r="Z210" s="4"/>
      <c r="AA210" s="4"/>
      <c r="AB210" s="4"/>
    </row>
    <row r="211" spans="1:28" x14ac:dyDescent="0.2">
      <c r="A211" s="4">
        <v>50</v>
      </c>
      <c r="B211" s="4">
        <v>0</v>
      </c>
      <c r="C211" s="4">
        <v>0</v>
      </c>
      <c r="D211" s="4">
        <v>1</v>
      </c>
      <c r="E211" s="4">
        <v>222</v>
      </c>
      <c r="F211" s="4">
        <f>ROUND(Source!AO207,O211)</f>
        <v>0</v>
      </c>
      <c r="G211" s="4" t="s">
        <v>73</v>
      </c>
      <c r="H211" s="4" t="s">
        <v>74</v>
      </c>
      <c r="I211" s="4"/>
      <c r="J211" s="4"/>
      <c r="K211" s="4">
        <v>222</v>
      </c>
      <c r="L211" s="4">
        <v>3</v>
      </c>
      <c r="M211" s="4">
        <v>3</v>
      </c>
      <c r="N211" s="4" t="s">
        <v>3</v>
      </c>
      <c r="O211" s="4">
        <v>2</v>
      </c>
      <c r="P211" s="4"/>
      <c r="Q211" s="4"/>
      <c r="R211" s="4"/>
      <c r="S211" s="4"/>
      <c r="T211" s="4"/>
      <c r="U211" s="4"/>
      <c r="V211" s="4"/>
      <c r="W211" s="4">
        <v>0</v>
      </c>
      <c r="X211" s="4">
        <v>1</v>
      </c>
      <c r="Y211" s="4">
        <v>0</v>
      </c>
      <c r="Z211" s="4"/>
      <c r="AA211" s="4"/>
      <c r="AB211" s="4"/>
    </row>
    <row r="212" spans="1:28" x14ac:dyDescent="0.2">
      <c r="A212" s="4">
        <v>50</v>
      </c>
      <c r="B212" s="4">
        <v>0</v>
      </c>
      <c r="C212" s="4">
        <v>0</v>
      </c>
      <c r="D212" s="4">
        <v>1</v>
      </c>
      <c r="E212" s="4">
        <v>225</v>
      </c>
      <c r="F212" s="4">
        <f>ROUND(Source!AV207,O212)</f>
        <v>2605634.96</v>
      </c>
      <c r="G212" s="4" t="s">
        <v>75</v>
      </c>
      <c r="H212" s="4" t="s">
        <v>76</v>
      </c>
      <c r="I212" s="4"/>
      <c r="J212" s="4"/>
      <c r="K212" s="4">
        <v>225</v>
      </c>
      <c r="L212" s="4">
        <v>4</v>
      </c>
      <c r="M212" s="4">
        <v>3</v>
      </c>
      <c r="N212" s="4" t="s">
        <v>3</v>
      </c>
      <c r="O212" s="4">
        <v>2</v>
      </c>
      <c r="P212" s="4"/>
      <c r="Q212" s="4"/>
      <c r="R212" s="4"/>
      <c r="S212" s="4"/>
      <c r="T212" s="4"/>
      <c r="U212" s="4"/>
      <c r="V212" s="4"/>
      <c r="W212" s="4">
        <v>2605634.96</v>
      </c>
      <c r="X212" s="4">
        <v>1</v>
      </c>
      <c r="Y212" s="4">
        <v>2605634.96</v>
      </c>
      <c r="Z212" s="4"/>
      <c r="AA212" s="4"/>
      <c r="AB212" s="4"/>
    </row>
    <row r="213" spans="1:28" x14ac:dyDescent="0.2">
      <c r="A213" s="4">
        <v>50</v>
      </c>
      <c r="B213" s="4">
        <v>0</v>
      </c>
      <c r="C213" s="4">
        <v>0</v>
      </c>
      <c r="D213" s="4">
        <v>1</v>
      </c>
      <c r="E213" s="4">
        <v>226</v>
      </c>
      <c r="F213" s="4">
        <f>ROUND(Source!AW207,O213)</f>
        <v>45409.93</v>
      </c>
      <c r="G213" s="4" t="s">
        <v>77</v>
      </c>
      <c r="H213" s="4" t="s">
        <v>78</v>
      </c>
      <c r="I213" s="4"/>
      <c r="J213" s="4"/>
      <c r="K213" s="4">
        <v>226</v>
      </c>
      <c r="L213" s="4">
        <v>5</v>
      </c>
      <c r="M213" s="4">
        <v>3</v>
      </c>
      <c r="N213" s="4" t="s">
        <v>3</v>
      </c>
      <c r="O213" s="4">
        <v>2</v>
      </c>
      <c r="P213" s="4"/>
      <c r="Q213" s="4"/>
      <c r="R213" s="4"/>
      <c r="S213" s="4"/>
      <c r="T213" s="4"/>
      <c r="U213" s="4"/>
      <c r="V213" s="4"/>
      <c r="W213" s="4">
        <v>45409.93</v>
      </c>
      <c r="X213" s="4">
        <v>1</v>
      </c>
      <c r="Y213" s="4">
        <v>45409.93</v>
      </c>
      <c r="Z213" s="4"/>
      <c r="AA213" s="4"/>
      <c r="AB213" s="4"/>
    </row>
    <row r="214" spans="1:28" x14ac:dyDescent="0.2">
      <c r="A214" s="4">
        <v>50</v>
      </c>
      <c r="B214" s="4">
        <v>0</v>
      </c>
      <c r="C214" s="4">
        <v>0</v>
      </c>
      <c r="D214" s="4">
        <v>1</v>
      </c>
      <c r="E214" s="4">
        <v>227</v>
      </c>
      <c r="F214" s="4">
        <f>ROUND(Source!AX207,O214)</f>
        <v>0</v>
      </c>
      <c r="G214" s="4" t="s">
        <v>79</v>
      </c>
      <c r="H214" s="4" t="s">
        <v>80</v>
      </c>
      <c r="I214" s="4"/>
      <c r="J214" s="4"/>
      <c r="K214" s="4">
        <v>227</v>
      </c>
      <c r="L214" s="4">
        <v>6</v>
      </c>
      <c r="M214" s="4">
        <v>3</v>
      </c>
      <c r="N214" s="4" t="s">
        <v>3</v>
      </c>
      <c r="O214" s="4">
        <v>2</v>
      </c>
      <c r="P214" s="4"/>
      <c r="Q214" s="4"/>
      <c r="R214" s="4"/>
      <c r="S214" s="4"/>
      <c r="T214" s="4"/>
      <c r="U214" s="4"/>
      <c r="V214" s="4"/>
      <c r="W214" s="4">
        <v>0</v>
      </c>
      <c r="X214" s="4">
        <v>1</v>
      </c>
      <c r="Y214" s="4">
        <v>0</v>
      </c>
      <c r="Z214" s="4"/>
      <c r="AA214" s="4"/>
      <c r="AB214" s="4"/>
    </row>
    <row r="215" spans="1:28" x14ac:dyDescent="0.2">
      <c r="A215" s="4">
        <v>50</v>
      </c>
      <c r="B215" s="4">
        <v>0</v>
      </c>
      <c r="C215" s="4">
        <v>0</v>
      </c>
      <c r="D215" s="4">
        <v>1</v>
      </c>
      <c r="E215" s="4">
        <v>228</v>
      </c>
      <c r="F215" s="4">
        <f>ROUND(Source!AY207,O215)</f>
        <v>45409.93</v>
      </c>
      <c r="G215" s="4" t="s">
        <v>81</v>
      </c>
      <c r="H215" s="4" t="s">
        <v>82</v>
      </c>
      <c r="I215" s="4"/>
      <c r="J215" s="4"/>
      <c r="K215" s="4">
        <v>228</v>
      </c>
      <c r="L215" s="4">
        <v>7</v>
      </c>
      <c r="M215" s="4">
        <v>3</v>
      </c>
      <c r="N215" s="4" t="s">
        <v>3</v>
      </c>
      <c r="O215" s="4">
        <v>2</v>
      </c>
      <c r="P215" s="4"/>
      <c r="Q215" s="4"/>
      <c r="R215" s="4"/>
      <c r="S215" s="4"/>
      <c r="T215" s="4"/>
      <c r="U215" s="4"/>
      <c r="V215" s="4"/>
      <c r="W215" s="4">
        <v>45409.93</v>
      </c>
      <c r="X215" s="4">
        <v>1</v>
      </c>
      <c r="Y215" s="4">
        <v>45409.93</v>
      </c>
      <c r="Z215" s="4"/>
      <c r="AA215" s="4"/>
      <c r="AB215" s="4"/>
    </row>
    <row r="216" spans="1:28" x14ac:dyDescent="0.2">
      <c r="A216" s="4">
        <v>50</v>
      </c>
      <c r="B216" s="4">
        <v>0</v>
      </c>
      <c r="C216" s="4">
        <v>0</v>
      </c>
      <c r="D216" s="4">
        <v>1</v>
      </c>
      <c r="E216" s="4">
        <v>216</v>
      </c>
      <c r="F216" s="4">
        <f>ROUND(Source!AP207,O216)</f>
        <v>2560225.0299999998</v>
      </c>
      <c r="G216" s="4" t="s">
        <v>83</v>
      </c>
      <c r="H216" s="4" t="s">
        <v>84</v>
      </c>
      <c r="I216" s="4"/>
      <c r="J216" s="4"/>
      <c r="K216" s="4">
        <v>216</v>
      </c>
      <c r="L216" s="4">
        <v>8</v>
      </c>
      <c r="M216" s="4">
        <v>3</v>
      </c>
      <c r="N216" s="4" t="s">
        <v>3</v>
      </c>
      <c r="O216" s="4">
        <v>2</v>
      </c>
      <c r="P216" s="4"/>
      <c r="Q216" s="4"/>
      <c r="R216" s="4"/>
      <c r="S216" s="4"/>
      <c r="T216" s="4"/>
      <c r="U216" s="4"/>
      <c r="V216" s="4"/>
      <c r="W216" s="4">
        <v>2560225.0299999998</v>
      </c>
      <c r="X216" s="4">
        <v>1</v>
      </c>
      <c r="Y216" s="4">
        <v>2560225.0299999998</v>
      </c>
      <c r="Z216" s="4"/>
      <c r="AA216" s="4"/>
      <c r="AB216" s="4"/>
    </row>
    <row r="217" spans="1:28" x14ac:dyDescent="0.2">
      <c r="A217" s="4">
        <v>50</v>
      </c>
      <c r="B217" s="4">
        <v>0</v>
      </c>
      <c r="C217" s="4">
        <v>0</v>
      </c>
      <c r="D217" s="4">
        <v>1</v>
      </c>
      <c r="E217" s="4">
        <v>223</v>
      </c>
      <c r="F217" s="4">
        <f>ROUND(Source!AQ207,O217)</f>
        <v>0</v>
      </c>
      <c r="G217" s="4" t="s">
        <v>85</v>
      </c>
      <c r="H217" s="4" t="s">
        <v>86</v>
      </c>
      <c r="I217" s="4"/>
      <c r="J217" s="4"/>
      <c r="K217" s="4">
        <v>223</v>
      </c>
      <c r="L217" s="4">
        <v>9</v>
      </c>
      <c r="M217" s="4">
        <v>3</v>
      </c>
      <c r="N217" s="4" t="s">
        <v>3</v>
      </c>
      <c r="O217" s="4">
        <v>2</v>
      </c>
      <c r="P217" s="4"/>
      <c r="Q217" s="4"/>
      <c r="R217" s="4"/>
      <c r="S217" s="4"/>
      <c r="T217" s="4"/>
      <c r="U217" s="4"/>
      <c r="V217" s="4"/>
      <c r="W217" s="4">
        <v>0</v>
      </c>
      <c r="X217" s="4">
        <v>1</v>
      </c>
      <c r="Y217" s="4">
        <v>0</v>
      </c>
      <c r="Z217" s="4"/>
      <c r="AA217" s="4"/>
      <c r="AB217" s="4"/>
    </row>
    <row r="218" spans="1:28" x14ac:dyDescent="0.2">
      <c r="A218" s="4">
        <v>50</v>
      </c>
      <c r="B218" s="4">
        <v>0</v>
      </c>
      <c r="C218" s="4">
        <v>0</v>
      </c>
      <c r="D218" s="4">
        <v>1</v>
      </c>
      <c r="E218" s="4">
        <v>229</v>
      </c>
      <c r="F218" s="4">
        <f>ROUND(Source!AZ207,O218)</f>
        <v>2560225.0299999998</v>
      </c>
      <c r="G218" s="4" t="s">
        <v>87</v>
      </c>
      <c r="H218" s="4" t="s">
        <v>88</v>
      </c>
      <c r="I218" s="4"/>
      <c r="J218" s="4"/>
      <c r="K218" s="4">
        <v>229</v>
      </c>
      <c r="L218" s="4">
        <v>10</v>
      </c>
      <c r="M218" s="4">
        <v>3</v>
      </c>
      <c r="N218" s="4" t="s">
        <v>3</v>
      </c>
      <c r="O218" s="4">
        <v>2</v>
      </c>
      <c r="P218" s="4"/>
      <c r="Q218" s="4"/>
      <c r="R218" s="4"/>
      <c r="S218" s="4"/>
      <c r="T218" s="4"/>
      <c r="U218" s="4"/>
      <c r="V218" s="4"/>
      <c r="W218" s="4">
        <v>2560225.0299999998</v>
      </c>
      <c r="X218" s="4">
        <v>1</v>
      </c>
      <c r="Y218" s="4">
        <v>2560225.0299999998</v>
      </c>
      <c r="Z218" s="4"/>
      <c r="AA218" s="4"/>
      <c r="AB218" s="4"/>
    </row>
    <row r="219" spans="1:28" x14ac:dyDescent="0.2">
      <c r="A219" s="4">
        <v>50</v>
      </c>
      <c r="B219" s="4">
        <v>0</v>
      </c>
      <c r="C219" s="4">
        <v>0</v>
      </c>
      <c r="D219" s="4">
        <v>1</v>
      </c>
      <c r="E219" s="4">
        <v>203</v>
      </c>
      <c r="F219" s="4">
        <f>ROUND(Source!Q207,O219)</f>
        <v>16175.52</v>
      </c>
      <c r="G219" s="4" t="s">
        <v>89</v>
      </c>
      <c r="H219" s="4" t="s">
        <v>90</v>
      </c>
      <c r="I219" s="4"/>
      <c r="J219" s="4"/>
      <c r="K219" s="4">
        <v>203</v>
      </c>
      <c r="L219" s="4">
        <v>11</v>
      </c>
      <c r="M219" s="4">
        <v>3</v>
      </c>
      <c r="N219" s="4" t="s">
        <v>3</v>
      </c>
      <c r="O219" s="4">
        <v>2</v>
      </c>
      <c r="P219" s="4"/>
      <c r="Q219" s="4"/>
      <c r="R219" s="4"/>
      <c r="S219" s="4"/>
      <c r="T219" s="4"/>
      <c r="U219" s="4"/>
      <c r="V219" s="4"/>
      <c r="W219" s="4">
        <v>16175.52</v>
      </c>
      <c r="X219" s="4">
        <v>1</v>
      </c>
      <c r="Y219" s="4">
        <v>16175.52</v>
      </c>
      <c r="Z219" s="4"/>
      <c r="AA219" s="4"/>
      <c r="AB219" s="4"/>
    </row>
    <row r="220" spans="1:28" x14ac:dyDescent="0.2">
      <c r="A220" s="4">
        <v>50</v>
      </c>
      <c r="B220" s="4">
        <v>0</v>
      </c>
      <c r="C220" s="4">
        <v>0</v>
      </c>
      <c r="D220" s="4">
        <v>1</v>
      </c>
      <c r="E220" s="4">
        <v>231</v>
      </c>
      <c r="F220" s="4">
        <f>ROUND(Source!BB207,O220)</f>
        <v>0</v>
      </c>
      <c r="G220" s="4" t="s">
        <v>91</v>
      </c>
      <c r="H220" s="4" t="s">
        <v>92</v>
      </c>
      <c r="I220" s="4"/>
      <c r="J220" s="4"/>
      <c r="K220" s="4">
        <v>231</v>
      </c>
      <c r="L220" s="4">
        <v>12</v>
      </c>
      <c r="M220" s="4">
        <v>3</v>
      </c>
      <c r="N220" s="4" t="s">
        <v>3</v>
      </c>
      <c r="O220" s="4">
        <v>2</v>
      </c>
      <c r="P220" s="4"/>
      <c r="Q220" s="4"/>
      <c r="R220" s="4"/>
      <c r="S220" s="4"/>
      <c r="T220" s="4"/>
      <c r="U220" s="4"/>
      <c r="V220" s="4"/>
      <c r="W220" s="4">
        <v>0</v>
      </c>
      <c r="X220" s="4">
        <v>1</v>
      </c>
      <c r="Y220" s="4">
        <v>0</v>
      </c>
      <c r="Z220" s="4"/>
      <c r="AA220" s="4"/>
      <c r="AB220" s="4"/>
    </row>
    <row r="221" spans="1:28" x14ac:dyDescent="0.2">
      <c r="A221" s="4">
        <v>50</v>
      </c>
      <c r="B221" s="4">
        <v>0</v>
      </c>
      <c r="C221" s="4">
        <v>0</v>
      </c>
      <c r="D221" s="4">
        <v>1</v>
      </c>
      <c r="E221" s="4">
        <v>204</v>
      </c>
      <c r="F221" s="4">
        <f>ROUND(Source!R207,O221)</f>
        <v>6683.02</v>
      </c>
      <c r="G221" s="4" t="s">
        <v>93</v>
      </c>
      <c r="H221" s="4" t="s">
        <v>94</v>
      </c>
      <c r="I221" s="4"/>
      <c r="J221" s="4"/>
      <c r="K221" s="4">
        <v>204</v>
      </c>
      <c r="L221" s="4">
        <v>13</v>
      </c>
      <c r="M221" s="4">
        <v>3</v>
      </c>
      <c r="N221" s="4" t="s">
        <v>3</v>
      </c>
      <c r="O221" s="4">
        <v>2</v>
      </c>
      <c r="P221" s="4"/>
      <c r="Q221" s="4"/>
      <c r="R221" s="4"/>
      <c r="S221" s="4"/>
      <c r="T221" s="4"/>
      <c r="U221" s="4"/>
      <c r="V221" s="4"/>
      <c r="W221" s="4">
        <v>6683.02</v>
      </c>
      <c r="X221" s="4">
        <v>1</v>
      </c>
      <c r="Y221" s="4">
        <v>6683.02</v>
      </c>
      <c r="Z221" s="4"/>
      <c r="AA221" s="4"/>
      <c r="AB221" s="4"/>
    </row>
    <row r="222" spans="1:28" x14ac:dyDescent="0.2">
      <c r="A222" s="4">
        <v>50</v>
      </c>
      <c r="B222" s="4">
        <v>0</v>
      </c>
      <c r="C222" s="4">
        <v>0</v>
      </c>
      <c r="D222" s="4">
        <v>1</v>
      </c>
      <c r="E222" s="4">
        <v>205</v>
      </c>
      <c r="F222" s="4">
        <f>ROUND(Source!S207,O222)</f>
        <v>153651.37</v>
      </c>
      <c r="G222" s="4" t="s">
        <v>95</v>
      </c>
      <c r="H222" s="4" t="s">
        <v>96</v>
      </c>
      <c r="I222" s="4"/>
      <c r="J222" s="4"/>
      <c r="K222" s="4">
        <v>205</v>
      </c>
      <c r="L222" s="4">
        <v>14</v>
      </c>
      <c r="M222" s="4">
        <v>3</v>
      </c>
      <c r="N222" s="4" t="s">
        <v>3</v>
      </c>
      <c r="O222" s="4">
        <v>2</v>
      </c>
      <c r="P222" s="4"/>
      <c r="Q222" s="4"/>
      <c r="R222" s="4"/>
      <c r="S222" s="4"/>
      <c r="T222" s="4"/>
      <c r="U222" s="4"/>
      <c r="V222" s="4"/>
      <c r="W222" s="4">
        <v>153651.37</v>
      </c>
      <c r="X222" s="4">
        <v>1</v>
      </c>
      <c r="Y222" s="4">
        <v>153651.37</v>
      </c>
      <c r="Z222" s="4"/>
      <c r="AA222" s="4"/>
      <c r="AB222" s="4"/>
    </row>
    <row r="223" spans="1:28" x14ac:dyDescent="0.2">
      <c r="A223" s="4">
        <v>50</v>
      </c>
      <c r="B223" s="4">
        <v>0</v>
      </c>
      <c r="C223" s="4">
        <v>0</v>
      </c>
      <c r="D223" s="4">
        <v>1</v>
      </c>
      <c r="E223" s="4">
        <v>232</v>
      </c>
      <c r="F223" s="4">
        <f>ROUND(Source!BC207,O223)</f>
        <v>0</v>
      </c>
      <c r="G223" s="4" t="s">
        <v>97</v>
      </c>
      <c r="H223" s="4" t="s">
        <v>98</v>
      </c>
      <c r="I223" s="4"/>
      <c r="J223" s="4"/>
      <c r="K223" s="4">
        <v>232</v>
      </c>
      <c r="L223" s="4">
        <v>15</v>
      </c>
      <c r="M223" s="4">
        <v>3</v>
      </c>
      <c r="N223" s="4" t="s">
        <v>3</v>
      </c>
      <c r="O223" s="4">
        <v>2</v>
      </c>
      <c r="P223" s="4"/>
      <c r="Q223" s="4"/>
      <c r="R223" s="4"/>
      <c r="S223" s="4"/>
      <c r="T223" s="4"/>
      <c r="U223" s="4"/>
      <c r="V223" s="4"/>
      <c r="W223" s="4">
        <v>0</v>
      </c>
      <c r="X223" s="4">
        <v>1</v>
      </c>
      <c r="Y223" s="4">
        <v>0</v>
      </c>
      <c r="Z223" s="4"/>
      <c r="AA223" s="4"/>
      <c r="AB223" s="4"/>
    </row>
    <row r="224" spans="1:28" x14ac:dyDescent="0.2">
      <c r="A224" s="4">
        <v>50</v>
      </c>
      <c r="B224" s="4">
        <v>0</v>
      </c>
      <c r="C224" s="4">
        <v>0</v>
      </c>
      <c r="D224" s="4">
        <v>1</v>
      </c>
      <c r="E224" s="4">
        <v>214</v>
      </c>
      <c r="F224" s="4">
        <f>ROUND(Source!AS207,O224)</f>
        <v>72955.61</v>
      </c>
      <c r="G224" s="4" t="s">
        <v>99</v>
      </c>
      <c r="H224" s="4" t="s">
        <v>100</v>
      </c>
      <c r="I224" s="4"/>
      <c r="J224" s="4"/>
      <c r="K224" s="4">
        <v>214</v>
      </c>
      <c r="L224" s="4">
        <v>16</v>
      </c>
      <c r="M224" s="4">
        <v>3</v>
      </c>
      <c r="N224" s="4" t="s">
        <v>3</v>
      </c>
      <c r="O224" s="4">
        <v>2</v>
      </c>
      <c r="P224" s="4"/>
      <c r="Q224" s="4"/>
      <c r="R224" s="4"/>
      <c r="S224" s="4"/>
      <c r="T224" s="4"/>
      <c r="U224" s="4"/>
      <c r="V224" s="4"/>
      <c r="W224" s="4">
        <v>72955.61</v>
      </c>
      <c r="X224" s="4">
        <v>1</v>
      </c>
      <c r="Y224" s="4">
        <v>72955.61</v>
      </c>
      <c r="Z224" s="4"/>
      <c r="AA224" s="4"/>
      <c r="AB224" s="4"/>
    </row>
    <row r="225" spans="1:206" x14ac:dyDescent="0.2">
      <c r="A225" s="4">
        <v>50</v>
      </c>
      <c r="B225" s="4">
        <v>0</v>
      </c>
      <c r="C225" s="4">
        <v>0</v>
      </c>
      <c r="D225" s="4">
        <v>1</v>
      </c>
      <c r="E225" s="4">
        <v>215</v>
      </c>
      <c r="F225" s="4">
        <f>ROUND(Source!AT207,O225)</f>
        <v>114079.89</v>
      </c>
      <c r="G225" s="4" t="s">
        <v>101</v>
      </c>
      <c r="H225" s="4" t="s">
        <v>102</v>
      </c>
      <c r="I225" s="4"/>
      <c r="J225" s="4"/>
      <c r="K225" s="4">
        <v>215</v>
      </c>
      <c r="L225" s="4">
        <v>17</v>
      </c>
      <c r="M225" s="4">
        <v>3</v>
      </c>
      <c r="N225" s="4" t="s">
        <v>3</v>
      </c>
      <c r="O225" s="4">
        <v>2</v>
      </c>
      <c r="P225" s="4"/>
      <c r="Q225" s="4"/>
      <c r="R225" s="4"/>
      <c r="S225" s="4"/>
      <c r="T225" s="4"/>
      <c r="U225" s="4"/>
      <c r="V225" s="4"/>
      <c r="W225" s="4">
        <v>114079.89</v>
      </c>
      <c r="X225" s="4">
        <v>1</v>
      </c>
      <c r="Y225" s="4">
        <v>114079.89</v>
      </c>
      <c r="Z225" s="4"/>
      <c r="AA225" s="4"/>
      <c r="AB225" s="4"/>
    </row>
    <row r="226" spans="1:206" x14ac:dyDescent="0.2">
      <c r="A226" s="4">
        <v>50</v>
      </c>
      <c r="B226" s="4">
        <v>0</v>
      </c>
      <c r="C226" s="4">
        <v>0</v>
      </c>
      <c r="D226" s="4">
        <v>1</v>
      </c>
      <c r="E226" s="4">
        <v>217</v>
      </c>
      <c r="F226" s="4">
        <f>ROUND(Source!AU207,O226)</f>
        <v>221992.66</v>
      </c>
      <c r="G226" s="4" t="s">
        <v>103</v>
      </c>
      <c r="H226" s="4" t="s">
        <v>104</v>
      </c>
      <c r="I226" s="4"/>
      <c r="J226" s="4"/>
      <c r="K226" s="4">
        <v>217</v>
      </c>
      <c r="L226" s="4">
        <v>18</v>
      </c>
      <c r="M226" s="4">
        <v>3</v>
      </c>
      <c r="N226" s="4" t="s">
        <v>3</v>
      </c>
      <c r="O226" s="4">
        <v>2</v>
      </c>
      <c r="P226" s="4"/>
      <c r="Q226" s="4"/>
      <c r="R226" s="4"/>
      <c r="S226" s="4"/>
      <c r="T226" s="4"/>
      <c r="U226" s="4"/>
      <c r="V226" s="4"/>
      <c r="W226" s="4">
        <v>221992.66</v>
      </c>
      <c r="X226" s="4">
        <v>1</v>
      </c>
      <c r="Y226" s="4">
        <v>221992.66</v>
      </c>
      <c r="Z226" s="4"/>
      <c r="AA226" s="4"/>
      <c r="AB226" s="4"/>
    </row>
    <row r="227" spans="1:206" x14ac:dyDescent="0.2">
      <c r="A227" s="4">
        <v>50</v>
      </c>
      <c r="B227" s="4">
        <v>0</v>
      </c>
      <c r="C227" s="4">
        <v>0</v>
      </c>
      <c r="D227" s="4">
        <v>1</v>
      </c>
      <c r="E227" s="4">
        <v>230</v>
      </c>
      <c r="F227" s="4">
        <f>ROUND(Source!BA207,O227)</f>
        <v>0</v>
      </c>
      <c r="G227" s="4" t="s">
        <v>105</v>
      </c>
      <c r="H227" s="4" t="s">
        <v>106</v>
      </c>
      <c r="I227" s="4"/>
      <c r="J227" s="4"/>
      <c r="K227" s="4">
        <v>230</v>
      </c>
      <c r="L227" s="4">
        <v>19</v>
      </c>
      <c r="M227" s="4">
        <v>3</v>
      </c>
      <c r="N227" s="4" t="s">
        <v>3</v>
      </c>
      <c r="O227" s="4">
        <v>2</v>
      </c>
      <c r="P227" s="4"/>
      <c r="Q227" s="4"/>
      <c r="R227" s="4"/>
      <c r="S227" s="4"/>
      <c r="T227" s="4"/>
      <c r="U227" s="4"/>
      <c r="V227" s="4"/>
      <c r="W227" s="4">
        <v>0</v>
      </c>
      <c r="X227" s="4">
        <v>1</v>
      </c>
      <c r="Y227" s="4">
        <v>0</v>
      </c>
      <c r="Z227" s="4"/>
      <c r="AA227" s="4"/>
      <c r="AB227" s="4"/>
    </row>
    <row r="228" spans="1:206" x14ac:dyDescent="0.2">
      <c r="A228" s="4">
        <v>50</v>
      </c>
      <c r="B228" s="4">
        <v>0</v>
      </c>
      <c r="C228" s="4">
        <v>0</v>
      </c>
      <c r="D228" s="4">
        <v>1</v>
      </c>
      <c r="E228" s="4">
        <v>206</v>
      </c>
      <c r="F228" s="4">
        <f>ROUND(Source!T207,O228)</f>
        <v>0</v>
      </c>
      <c r="G228" s="4" t="s">
        <v>107</v>
      </c>
      <c r="H228" s="4" t="s">
        <v>108</v>
      </c>
      <c r="I228" s="4"/>
      <c r="J228" s="4"/>
      <c r="K228" s="4">
        <v>206</v>
      </c>
      <c r="L228" s="4">
        <v>20</v>
      </c>
      <c r="M228" s="4">
        <v>3</v>
      </c>
      <c r="N228" s="4" t="s">
        <v>3</v>
      </c>
      <c r="O228" s="4">
        <v>2</v>
      </c>
      <c r="P228" s="4"/>
      <c r="Q228" s="4"/>
      <c r="R228" s="4"/>
      <c r="S228" s="4"/>
      <c r="T228" s="4"/>
      <c r="U228" s="4"/>
      <c r="V228" s="4"/>
      <c r="W228" s="4">
        <v>0</v>
      </c>
      <c r="X228" s="4">
        <v>1</v>
      </c>
      <c r="Y228" s="4">
        <v>0</v>
      </c>
      <c r="Z228" s="4"/>
      <c r="AA228" s="4"/>
      <c r="AB228" s="4"/>
    </row>
    <row r="229" spans="1:206" x14ac:dyDescent="0.2">
      <c r="A229" s="4">
        <v>50</v>
      </c>
      <c r="B229" s="4">
        <v>0</v>
      </c>
      <c r="C229" s="4">
        <v>0</v>
      </c>
      <c r="D229" s="4">
        <v>1</v>
      </c>
      <c r="E229" s="4">
        <v>207</v>
      </c>
      <c r="F229" s="4">
        <f>Source!U207</f>
        <v>367.59637970999995</v>
      </c>
      <c r="G229" s="4" t="s">
        <v>109</v>
      </c>
      <c r="H229" s="4" t="s">
        <v>110</v>
      </c>
      <c r="I229" s="4"/>
      <c r="J229" s="4"/>
      <c r="K229" s="4">
        <v>207</v>
      </c>
      <c r="L229" s="4">
        <v>21</v>
      </c>
      <c r="M229" s="4">
        <v>3</v>
      </c>
      <c r="N229" s="4" t="s">
        <v>3</v>
      </c>
      <c r="O229" s="4">
        <v>-1</v>
      </c>
      <c r="P229" s="4"/>
      <c r="Q229" s="4"/>
      <c r="R229" s="4"/>
      <c r="S229" s="4"/>
      <c r="T229" s="4"/>
      <c r="U229" s="4"/>
      <c r="V229" s="4"/>
      <c r="W229" s="4">
        <v>367.59637971000001</v>
      </c>
      <c r="X229" s="4">
        <v>1</v>
      </c>
      <c r="Y229" s="4">
        <v>367.59637971000001</v>
      </c>
      <c r="Z229" s="4"/>
      <c r="AA229" s="4"/>
      <c r="AB229" s="4"/>
    </row>
    <row r="230" spans="1:206" x14ac:dyDescent="0.2">
      <c r="A230" s="4">
        <v>50</v>
      </c>
      <c r="B230" s="4">
        <v>0</v>
      </c>
      <c r="C230" s="4">
        <v>0</v>
      </c>
      <c r="D230" s="4">
        <v>1</v>
      </c>
      <c r="E230" s="4">
        <v>208</v>
      </c>
      <c r="F230" s="4">
        <f>Source!V207</f>
        <v>0</v>
      </c>
      <c r="G230" s="4" t="s">
        <v>111</v>
      </c>
      <c r="H230" s="4" t="s">
        <v>112</v>
      </c>
      <c r="I230" s="4"/>
      <c r="J230" s="4"/>
      <c r="K230" s="4">
        <v>208</v>
      </c>
      <c r="L230" s="4">
        <v>22</v>
      </c>
      <c r="M230" s="4">
        <v>3</v>
      </c>
      <c r="N230" s="4" t="s">
        <v>3</v>
      </c>
      <c r="O230" s="4">
        <v>-1</v>
      </c>
      <c r="P230" s="4"/>
      <c r="Q230" s="4"/>
      <c r="R230" s="4"/>
      <c r="S230" s="4"/>
      <c r="T230" s="4"/>
      <c r="U230" s="4"/>
      <c r="V230" s="4"/>
      <c r="W230" s="4">
        <v>0</v>
      </c>
      <c r="X230" s="4">
        <v>1</v>
      </c>
      <c r="Y230" s="4">
        <v>0</v>
      </c>
      <c r="Z230" s="4"/>
      <c r="AA230" s="4"/>
      <c r="AB230" s="4"/>
    </row>
    <row r="231" spans="1:206" x14ac:dyDescent="0.2">
      <c r="A231" s="4">
        <v>50</v>
      </c>
      <c r="B231" s="4">
        <v>0</v>
      </c>
      <c r="C231" s="4">
        <v>0</v>
      </c>
      <c r="D231" s="4">
        <v>1</v>
      </c>
      <c r="E231" s="4">
        <v>209</v>
      </c>
      <c r="F231" s="4">
        <f>ROUND(Source!W207,O231)</f>
        <v>0</v>
      </c>
      <c r="G231" s="4" t="s">
        <v>113</v>
      </c>
      <c r="H231" s="4" t="s">
        <v>114</v>
      </c>
      <c r="I231" s="4"/>
      <c r="J231" s="4"/>
      <c r="K231" s="4">
        <v>209</v>
      </c>
      <c r="L231" s="4">
        <v>23</v>
      </c>
      <c r="M231" s="4">
        <v>3</v>
      </c>
      <c r="N231" s="4" t="s">
        <v>3</v>
      </c>
      <c r="O231" s="4">
        <v>2</v>
      </c>
      <c r="P231" s="4"/>
      <c r="Q231" s="4"/>
      <c r="R231" s="4"/>
      <c r="S231" s="4"/>
      <c r="T231" s="4"/>
      <c r="U231" s="4"/>
      <c r="V231" s="4"/>
      <c r="W231" s="4">
        <v>0</v>
      </c>
      <c r="X231" s="4">
        <v>1</v>
      </c>
      <c r="Y231" s="4">
        <v>0</v>
      </c>
      <c r="Z231" s="4"/>
      <c r="AA231" s="4"/>
      <c r="AB231" s="4"/>
    </row>
    <row r="232" spans="1:206" x14ac:dyDescent="0.2">
      <c r="A232" s="4">
        <v>50</v>
      </c>
      <c r="B232" s="4">
        <v>0</v>
      </c>
      <c r="C232" s="4">
        <v>0</v>
      </c>
      <c r="D232" s="4">
        <v>1</v>
      </c>
      <c r="E232" s="4">
        <v>233</v>
      </c>
      <c r="F232" s="4">
        <f>ROUND(Source!BD207,O232)</f>
        <v>0</v>
      </c>
      <c r="G232" s="4" t="s">
        <v>115</v>
      </c>
      <c r="H232" s="4" t="s">
        <v>116</v>
      </c>
      <c r="I232" s="4"/>
      <c r="J232" s="4"/>
      <c r="K232" s="4">
        <v>233</v>
      </c>
      <c r="L232" s="4">
        <v>24</v>
      </c>
      <c r="M232" s="4">
        <v>3</v>
      </c>
      <c r="N232" s="4" t="s">
        <v>3</v>
      </c>
      <c r="O232" s="4">
        <v>2</v>
      </c>
      <c r="P232" s="4"/>
      <c r="Q232" s="4"/>
      <c r="R232" s="4"/>
      <c r="S232" s="4"/>
      <c r="T232" s="4"/>
      <c r="U232" s="4"/>
      <c r="V232" s="4"/>
      <c r="W232" s="4">
        <v>0</v>
      </c>
      <c r="X232" s="4">
        <v>1</v>
      </c>
      <c r="Y232" s="4">
        <v>0</v>
      </c>
      <c r="Z232" s="4"/>
      <c r="AA232" s="4"/>
      <c r="AB232" s="4"/>
    </row>
    <row r="233" spans="1:206" x14ac:dyDescent="0.2">
      <c r="A233" s="4">
        <v>50</v>
      </c>
      <c r="B233" s="4">
        <v>0</v>
      </c>
      <c r="C233" s="4">
        <v>0</v>
      </c>
      <c r="D233" s="4">
        <v>1</v>
      </c>
      <c r="E233" s="4">
        <v>210</v>
      </c>
      <c r="F233" s="4">
        <f>ROUND(Source!X207,O233)</f>
        <v>118862.46</v>
      </c>
      <c r="G233" s="4" t="s">
        <v>117</v>
      </c>
      <c r="H233" s="4" t="s">
        <v>118</v>
      </c>
      <c r="I233" s="4"/>
      <c r="J233" s="4"/>
      <c r="K233" s="4">
        <v>210</v>
      </c>
      <c r="L233" s="4">
        <v>25</v>
      </c>
      <c r="M233" s="4">
        <v>3</v>
      </c>
      <c r="N233" s="4" t="s">
        <v>3</v>
      </c>
      <c r="O233" s="4">
        <v>2</v>
      </c>
      <c r="P233" s="4"/>
      <c r="Q233" s="4"/>
      <c r="R233" s="4"/>
      <c r="S233" s="4"/>
      <c r="T233" s="4"/>
      <c r="U233" s="4"/>
      <c r="V233" s="4"/>
      <c r="W233" s="4">
        <v>118862.46</v>
      </c>
      <c r="X233" s="4">
        <v>1</v>
      </c>
      <c r="Y233" s="4">
        <v>118862.46</v>
      </c>
      <c r="Z233" s="4"/>
      <c r="AA233" s="4"/>
      <c r="AB233" s="4"/>
    </row>
    <row r="234" spans="1:206" x14ac:dyDescent="0.2">
      <c r="A234" s="4">
        <v>50</v>
      </c>
      <c r="B234" s="4">
        <v>0</v>
      </c>
      <c r="C234" s="4">
        <v>0</v>
      </c>
      <c r="D234" s="4">
        <v>1</v>
      </c>
      <c r="E234" s="4">
        <v>211</v>
      </c>
      <c r="F234" s="4">
        <f>ROUND(Source!Y207,O234)</f>
        <v>64236.05</v>
      </c>
      <c r="G234" s="4" t="s">
        <v>119</v>
      </c>
      <c r="H234" s="4" t="s">
        <v>120</v>
      </c>
      <c r="I234" s="4"/>
      <c r="J234" s="4"/>
      <c r="K234" s="4">
        <v>211</v>
      </c>
      <c r="L234" s="4">
        <v>26</v>
      </c>
      <c r="M234" s="4">
        <v>3</v>
      </c>
      <c r="N234" s="4" t="s">
        <v>3</v>
      </c>
      <c r="O234" s="4">
        <v>2</v>
      </c>
      <c r="P234" s="4"/>
      <c r="Q234" s="4"/>
      <c r="R234" s="4"/>
      <c r="S234" s="4"/>
      <c r="T234" s="4"/>
      <c r="U234" s="4"/>
      <c r="V234" s="4"/>
      <c r="W234" s="4">
        <v>64236.05</v>
      </c>
      <c r="X234" s="4">
        <v>1</v>
      </c>
      <c r="Y234" s="4">
        <v>64236.05</v>
      </c>
      <c r="Z234" s="4"/>
      <c r="AA234" s="4"/>
      <c r="AB234" s="4"/>
    </row>
    <row r="235" spans="1:206" x14ac:dyDescent="0.2">
      <c r="A235" s="4">
        <v>50</v>
      </c>
      <c r="B235" s="4">
        <v>0</v>
      </c>
      <c r="C235" s="4">
        <v>0</v>
      </c>
      <c r="D235" s="4">
        <v>1</v>
      </c>
      <c r="E235" s="4">
        <v>224</v>
      </c>
      <c r="F235" s="4">
        <f>ROUND(Source!AR207,O235)</f>
        <v>2969253.19</v>
      </c>
      <c r="G235" s="4" t="s">
        <v>121</v>
      </c>
      <c r="H235" s="4" t="s">
        <v>122</v>
      </c>
      <c r="I235" s="4"/>
      <c r="J235" s="4"/>
      <c r="K235" s="4">
        <v>224</v>
      </c>
      <c r="L235" s="4">
        <v>27</v>
      </c>
      <c r="M235" s="4">
        <v>3</v>
      </c>
      <c r="N235" s="4" t="s">
        <v>3</v>
      </c>
      <c r="O235" s="4">
        <v>2</v>
      </c>
      <c r="P235" s="4"/>
      <c r="Q235" s="4"/>
      <c r="R235" s="4"/>
      <c r="S235" s="4"/>
      <c r="T235" s="4"/>
      <c r="U235" s="4"/>
      <c r="V235" s="4"/>
      <c r="W235" s="4">
        <v>2969253.19</v>
      </c>
      <c r="X235" s="4">
        <v>1</v>
      </c>
      <c r="Y235" s="4">
        <v>2969253.19</v>
      </c>
      <c r="Z235" s="4"/>
      <c r="AA235" s="4"/>
      <c r="AB235" s="4"/>
    </row>
    <row r="237" spans="1:206" x14ac:dyDescent="0.2">
      <c r="A237" s="2">
        <v>51</v>
      </c>
      <c r="B237" s="2">
        <f>B12</f>
        <v>272</v>
      </c>
      <c r="C237" s="2">
        <f>A12</f>
        <v>1</v>
      </c>
      <c r="D237" s="2">
        <f>ROW(A12)</f>
        <v>12</v>
      </c>
      <c r="E237" s="2"/>
      <c r="F237" s="2" t="str">
        <f>IF(F12&lt;&gt;"",F12,"")</f>
        <v>Новый объект</v>
      </c>
      <c r="G237" s="2" t="str">
        <f>IF(G12&lt;&gt;"",G12,"")</f>
        <v>Рек-ция КТП-1370 Ветеран МО</v>
      </c>
      <c r="H237" s="2">
        <v>0</v>
      </c>
      <c r="I237" s="2"/>
      <c r="J237" s="2"/>
      <c r="K237" s="2"/>
      <c r="L237" s="2"/>
      <c r="M237" s="2"/>
      <c r="N237" s="2"/>
      <c r="O237" s="2">
        <f t="shared" ref="O237:T237" si="203">ROUND(O207,2)</f>
        <v>2775461.85</v>
      </c>
      <c r="P237" s="2">
        <f t="shared" si="203"/>
        <v>2605634.96</v>
      </c>
      <c r="Q237" s="2">
        <f t="shared" si="203"/>
        <v>16175.52</v>
      </c>
      <c r="R237" s="2">
        <f t="shared" si="203"/>
        <v>6683.02</v>
      </c>
      <c r="S237" s="2">
        <f t="shared" si="203"/>
        <v>153651.37</v>
      </c>
      <c r="T237" s="2">
        <f t="shared" si="203"/>
        <v>0</v>
      </c>
      <c r="U237" s="2">
        <f>U207</f>
        <v>367.59637970999995</v>
      </c>
      <c r="V237" s="2">
        <f>V207</f>
        <v>0</v>
      </c>
      <c r="W237" s="2">
        <f>ROUND(W207,2)</f>
        <v>0</v>
      </c>
      <c r="X237" s="2">
        <f>ROUND(X207,2)</f>
        <v>118862.46</v>
      </c>
      <c r="Y237" s="2">
        <f>ROUND(Y207,2)</f>
        <v>64236.05</v>
      </c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>
        <f t="shared" ref="AO237:BD237" si="204">ROUND(AO207,2)</f>
        <v>0</v>
      </c>
      <c r="AP237" s="2">
        <f t="shared" si="204"/>
        <v>2560225.0299999998</v>
      </c>
      <c r="AQ237" s="2">
        <f t="shared" si="204"/>
        <v>0</v>
      </c>
      <c r="AR237" s="2">
        <f t="shared" si="204"/>
        <v>2969253.19</v>
      </c>
      <c r="AS237" s="2">
        <f t="shared" si="204"/>
        <v>72955.61</v>
      </c>
      <c r="AT237" s="2">
        <f t="shared" si="204"/>
        <v>114079.89</v>
      </c>
      <c r="AU237" s="2">
        <f t="shared" si="204"/>
        <v>221992.66</v>
      </c>
      <c r="AV237" s="2">
        <f t="shared" si="204"/>
        <v>2605634.96</v>
      </c>
      <c r="AW237" s="2">
        <f t="shared" si="204"/>
        <v>45409.93</v>
      </c>
      <c r="AX237" s="2">
        <f t="shared" si="204"/>
        <v>0</v>
      </c>
      <c r="AY237" s="2">
        <f t="shared" si="204"/>
        <v>45409.93</v>
      </c>
      <c r="AZ237" s="2">
        <f t="shared" si="204"/>
        <v>2560225.0299999998</v>
      </c>
      <c r="BA237" s="2">
        <f t="shared" si="204"/>
        <v>0</v>
      </c>
      <c r="BB237" s="2">
        <f t="shared" si="204"/>
        <v>0</v>
      </c>
      <c r="BC237" s="2">
        <f t="shared" si="204"/>
        <v>0</v>
      </c>
      <c r="BD237" s="2">
        <f t="shared" si="204"/>
        <v>0</v>
      </c>
      <c r="BE237" s="2"/>
      <c r="BF237" s="2"/>
      <c r="BG237" s="2"/>
      <c r="BH237" s="2"/>
      <c r="BI237" s="2"/>
      <c r="BJ237" s="2"/>
      <c r="BK237" s="2"/>
      <c r="BL237" s="2"/>
      <c r="BM237" s="2"/>
      <c r="BN237" s="2"/>
      <c r="BO237" s="2"/>
      <c r="BP237" s="2"/>
      <c r="BQ237" s="2"/>
      <c r="BR237" s="2"/>
      <c r="BS237" s="2"/>
      <c r="BT237" s="2"/>
      <c r="BU237" s="2"/>
      <c r="BV237" s="2"/>
      <c r="BW237" s="2"/>
      <c r="BX237" s="2"/>
      <c r="BY237" s="2"/>
      <c r="BZ237" s="2"/>
      <c r="CA237" s="2"/>
      <c r="CB237" s="2"/>
      <c r="CC237" s="2"/>
      <c r="CD237" s="2"/>
      <c r="CE237" s="2"/>
      <c r="CF237" s="2"/>
      <c r="CG237" s="2"/>
      <c r="CH237" s="2"/>
      <c r="CI237" s="2"/>
      <c r="CJ237" s="2"/>
      <c r="CK237" s="2"/>
      <c r="CL237" s="2"/>
      <c r="CM237" s="2"/>
      <c r="CN237" s="2"/>
      <c r="CO237" s="2"/>
      <c r="CP237" s="2"/>
      <c r="CQ237" s="2"/>
      <c r="CR237" s="2"/>
      <c r="CS237" s="2"/>
      <c r="CT237" s="2"/>
      <c r="CU237" s="2"/>
      <c r="CV237" s="2"/>
      <c r="CW237" s="2"/>
      <c r="CX237" s="2"/>
      <c r="CY237" s="2"/>
      <c r="CZ237" s="2"/>
      <c r="DA237" s="2"/>
      <c r="DB237" s="2"/>
      <c r="DC237" s="2"/>
      <c r="DD237" s="2"/>
      <c r="DE237" s="2"/>
      <c r="DF237" s="2"/>
      <c r="DG237" s="3"/>
      <c r="DH237" s="3"/>
      <c r="DI237" s="3"/>
      <c r="DJ237" s="3"/>
      <c r="DK237" s="3"/>
      <c r="DL237" s="3"/>
      <c r="DM237" s="3"/>
      <c r="DN237" s="3"/>
      <c r="DO237" s="3"/>
      <c r="DP237" s="3"/>
      <c r="DQ237" s="3"/>
      <c r="DR237" s="3"/>
      <c r="DS237" s="3"/>
      <c r="DT237" s="3"/>
      <c r="DU237" s="3"/>
      <c r="DV237" s="3"/>
      <c r="DW237" s="3"/>
      <c r="DX237" s="3"/>
      <c r="DY237" s="3"/>
      <c r="DZ237" s="3"/>
      <c r="EA237" s="3"/>
      <c r="EB237" s="3"/>
      <c r="EC237" s="3"/>
      <c r="ED237" s="3"/>
      <c r="EE237" s="3"/>
      <c r="EF237" s="3"/>
      <c r="EG237" s="3"/>
      <c r="EH237" s="3"/>
      <c r="EI237" s="3"/>
      <c r="EJ237" s="3"/>
      <c r="EK237" s="3"/>
      <c r="EL237" s="3"/>
      <c r="EM237" s="3"/>
      <c r="EN237" s="3"/>
      <c r="EO237" s="3"/>
      <c r="EP237" s="3"/>
      <c r="EQ237" s="3"/>
      <c r="ER237" s="3"/>
      <c r="ES237" s="3"/>
      <c r="ET237" s="3"/>
      <c r="EU237" s="3"/>
      <c r="EV237" s="3"/>
      <c r="EW237" s="3"/>
      <c r="EX237" s="3"/>
      <c r="EY237" s="3"/>
      <c r="EZ237" s="3"/>
      <c r="FA237" s="3"/>
      <c r="FB237" s="3"/>
      <c r="FC237" s="3"/>
      <c r="FD237" s="3"/>
      <c r="FE237" s="3"/>
      <c r="FF237" s="3"/>
      <c r="FG237" s="3"/>
      <c r="FH237" s="3"/>
      <c r="FI237" s="3"/>
      <c r="FJ237" s="3"/>
      <c r="FK237" s="3"/>
      <c r="FL237" s="3"/>
      <c r="FM237" s="3"/>
      <c r="FN237" s="3"/>
      <c r="FO237" s="3"/>
      <c r="FP237" s="3"/>
      <c r="FQ237" s="3"/>
      <c r="FR237" s="3"/>
      <c r="FS237" s="3"/>
      <c r="FT237" s="3"/>
      <c r="FU237" s="3"/>
      <c r="FV237" s="3"/>
      <c r="FW237" s="3"/>
      <c r="FX237" s="3"/>
      <c r="FY237" s="3"/>
      <c r="FZ237" s="3"/>
      <c r="GA237" s="3"/>
      <c r="GB237" s="3"/>
      <c r="GC237" s="3"/>
      <c r="GD237" s="3"/>
      <c r="GE237" s="3"/>
      <c r="GF237" s="3"/>
      <c r="GG237" s="3"/>
      <c r="GH237" s="3"/>
      <c r="GI237" s="3"/>
      <c r="GJ237" s="3"/>
      <c r="GK237" s="3"/>
      <c r="GL237" s="3"/>
      <c r="GM237" s="3"/>
      <c r="GN237" s="3"/>
      <c r="GO237" s="3"/>
      <c r="GP237" s="3"/>
      <c r="GQ237" s="3"/>
      <c r="GR237" s="3"/>
      <c r="GS237" s="3"/>
      <c r="GT237" s="3"/>
      <c r="GU237" s="3"/>
      <c r="GV237" s="3"/>
      <c r="GW237" s="3"/>
      <c r="GX237" s="3">
        <v>0</v>
      </c>
    </row>
    <row r="239" spans="1:206" x14ac:dyDescent="0.2">
      <c r="A239" s="4">
        <v>50</v>
      </c>
      <c r="B239" s="4">
        <v>0</v>
      </c>
      <c r="C239" s="4">
        <v>0</v>
      </c>
      <c r="D239" s="4">
        <v>1</v>
      </c>
      <c r="E239" s="4">
        <v>201</v>
      </c>
      <c r="F239" s="4">
        <f>ROUND(Source!O237,O239)</f>
        <v>2775461.85</v>
      </c>
      <c r="G239" s="4" t="s">
        <v>69</v>
      </c>
      <c r="H239" s="4" t="s">
        <v>70</v>
      </c>
      <c r="I239" s="4"/>
      <c r="J239" s="4"/>
      <c r="K239" s="4">
        <v>201</v>
      </c>
      <c r="L239" s="4">
        <v>1</v>
      </c>
      <c r="M239" s="4">
        <v>3</v>
      </c>
      <c r="N239" s="4" t="s">
        <v>3</v>
      </c>
      <c r="O239" s="4">
        <v>2</v>
      </c>
      <c r="P239" s="4"/>
      <c r="Q239" s="4"/>
      <c r="R239" s="4"/>
      <c r="S239" s="4"/>
      <c r="T239" s="4"/>
      <c r="U239" s="4"/>
      <c r="V239" s="4"/>
      <c r="W239" s="4">
        <v>2775461.85</v>
      </c>
      <c r="X239" s="4">
        <v>1</v>
      </c>
      <c r="Y239" s="4">
        <v>2775461.85</v>
      </c>
      <c r="Z239" s="4"/>
      <c r="AA239" s="4"/>
      <c r="AB239" s="4"/>
    </row>
    <row r="240" spans="1:206" x14ac:dyDescent="0.2">
      <c r="A240" s="4">
        <v>50</v>
      </c>
      <c r="B240" s="4">
        <v>0</v>
      </c>
      <c r="C240" s="4">
        <v>0</v>
      </c>
      <c r="D240" s="4">
        <v>1</v>
      </c>
      <c r="E240" s="4">
        <v>202</v>
      </c>
      <c r="F240" s="4">
        <f>ROUND(Source!P237,O240)</f>
        <v>2605634.96</v>
      </c>
      <c r="G240" s="4" t="s">
        <v>71</v>
      </c>
      <c r="H240" s="4" t="s">
        <v>72</v>
      </c>
      <c r="I240" s="4"/>
      <c r="J240" s="4"/>
      <c r="K240" s="4">
        <v>202</v>
      </c>
      <c r="L240" s="4">
        <v>2</v>
      </c>
      <c r="M240" s="4">
        <v>3</v>
      </c>
      <c r="N240" s="4" t="s">
        <v>3</v>
      </c>
      <c r="O240" s="4">
        <v>2</v>
      </c>
      <c r="P240" s="4"/>
      <c r="Q240" s="4"/>
      <c r="R240" s="4"/>
      <c r="S240" s="4"/>
      <c r="T240" s="4"/>
      <c r="U240" s="4"/>
      <c r="V240" s="4"/>
      <c r="W240" s="4">
        <v>2605634.96</v>
      </c>
      <c r="X240" s="4">
        <v>1</v>
      </c>
      <c r="Y240" s="4">
        <v>2605634.96</v>
      </c>
      <c r="Z240" s="4"/>
      <c r="AA240" s="4"/>
      <c r="AB240" s="4"/>
    </row>
    <row r="241" spans="1:28" x14ac:dyDescent="0.2">
      <c r="A241" s="4">
        <v>50</v>
      </c>
      <c r="B241" s="4">
        <v>0</v>
      </c>
      <c r="C241" s="4">
        <v>0</v>
      </c>
      <c r="D241" s="4">
        <v>1</v>
      </c>
      <c r="E241" s="4">
        <v>222</v>
      </c>
      <c r="F241" s="4">
        <f>ROUND(Source!AO237,O241)</f>
        <v>0</v>
      </c>
      <c r="G241" s="4" t="s">
        <v>73</v>
      </c>
      <c r="H241" s="4" t="s">
        <v>74</v>
      </c>
      <c r="I241" s="4"/>
      <c r="J241" s="4"/>
      <c r="K241" s="4">
        <v>222</v>
      </c>
      <c r="L241" s="4">
        <v>3</v>
      </c>
      <c r="M241" s="4">
        <v>3</v>
      </c>
      <c r="N241" s="4" t="s">
        <v>3</v>
      </c>
      <c r="O241" s="4">
        <v>2</v>
      </c>
      <c r="P241" s="4"/>
      <c r="Q241" s="4"/>
      <c r="R241" s="4"/>
      <c r="S241" s="4"/>
      <c r="T241" s="4"/>
      <c r="U241" s="4"/>
      <c r="V241" s="4"/>
      <c r="W241" s="4">
        <v>0</v>
      </c>
      <c r="X241" s="4">
        <v>1</v>
      </c>
      <c r="Y241" s="4">
        <v>0</v>
      </c>
      <c r="Z241" s="4"/>
      <c r="AA241" s="4"/>
      <c r="AB241" s="4"/>
    </row>
    <row r="242" spans="1:28" x14ac:dyDescent="0.2">
      <c r="A242" s="4">
        <v>50</v>
      </c>
      <c r="B242" s="4">
        <v>0</v>
      </c>
      <c r="C242" s="4">
        <v>0</v>
      </c>
      <c r="D242" s="4">
        <v>1</v>
      </c>
      <c r="E242" s="4">
        <v>225</v>
      </c>
      <c r="F242" s="4">
        <f>ROUND(Source!AV237,O242)</f>
        <v>2605634.96</v>
      </c>
      <c r="G242" s="4" t="s">
        <v>75</v>
      </c>
      <c r="H242" s="4" t="s">
        <v>76</v>
      </c>
      <c r="I242" s="4"/>
      <c r="J242" s="4"/>
      <c r="K242" s="4">
        <v>225</v>
      </c>
      <c r="L242" s="4">
        <v>4</v>
      </c>
      <c r="M242" s="4">
        <v>3</v>
      </c>
      <c r="N242" s="4" t="s">
        <v>3</v>
      </c>
      <c r="O242" s="4">
        <v>2</v>
      </c>
      <c r="P242" s="4"/>
      <c r="Q242" s="4"/>
      <c r="R242" s="4"/>
      <c r="S242" s="4"/>
      <c r="T242" s="4"/>
      <c r="U242" s="4"/>
      <c r="V242" s="4"/>
      <c r="W242" s="4">
        <v>2605634.96</v>
      </c>
      <c r="X242" s="4">
        <v>1</v>
      </c>
      <c r="Y242" s="4">
        <v>2605634.96</v>
      </c>
      <c r="Z242" s="4"/>
      <c r="AA242" s="4"/>
      <c r="AB242" s="4"/>
    </row>
    <row r="243" spans="1:28" x14ac:dyDescent="0.2">
      <c r="A243" s="4">
        <v>50</v>
      </c>
      <c r="B243" s="4">
        <v>0</v>
      </c>
      <c r="C243" s="4">
        <v>0</v>
      </c>
      <c r="D243" s="4">
        <v>1</v>
      </c>
      <c r="E243" s="4">
        <v>226</v>
      </c>
      <c r="F243" s="4">
        <f>ROUND(Source!AW237,O243)</f>
        <v>45409.93</v>
      </c>
      <c r="G243" s="4" t="s">
        <v>77</v>
      </c>
      <c r="H243" s="4" t="s">
        <v>78</v>
      </c>
      <c r="I243" s="4"/>
      <c r="J243" s="4"/>
      <c r="K243" s="4">
        <v>226</v>
      </c>
      <c r="L243" s="4">
        <v>5</v>
      </c>
      <c r="M243" s="4">
        <v>3</v>
      </c>
      <c r="N243" s="4" t="s">
        <v>3</v>
      </c>
      <c r="O243" s="4">
        <v>2</v>
      </c>
      <c r="P243" s="4"/>
      <c r="Q243" s="4"/>
      <c r="R243" s="4"/>
      <c r="S243" s="4"/>
      <c r="T243" s="4"/>
      <c r="U243" s="4"/>
      <c r="V243" s="4"/>
      <c r="W243" s="4">
        <v>45409.93</v>
      </c>
      <c r="X243" s="4">
        <v>1</v>
      </c>
      <c r="Y243" s="4">
        <v>45409.93</v>
      </c>
      <c r="Z243" s="4"/>
      <c r="AA243" s="4"/>
      <c r="AB243" s="4"/>
    </row>
    <row r="244" spans="1:28" x14ac:dyDescent="0.2">
      <c r="A244" s="4">
        <v>50</v>
      </c>
      <c r="B244" s="4">
        <v>0</v>
      </c>
      <c r="C244" s="4">
        <v>0</v>
      </c>
      <c r="D244" s="4">
        <v>1</v>
      </c>
      <c r="E244" s="4">
        <v>227</v>
      </c>
      <c r="F244" s="4">
        <f>ROUND(Source!AX237,O244)</f>
        <v>0</v>
      </c>
      <c r="G244" s="4" t="s">
        <v>79</v>
      </c>
      <c r="H244" s="4" t="s">
        <v>80</v>
      </c>
      <c r="I244" s="4"/>
      <c r="J244" s="4"/>
      <c r="K244" s="4">
        <v>227</v>
      </c>
      <c r="L244" s="4">
        <v>6</v>
      </c>
      <c r="M244" s="4">
        <v>3</v>
      </c>
      <c r="N244" s="4" t="s">
        <v>3</v>
      </c>
      <c r="O244" s="4">
        <v>2</v>
      </c>
      <c r="P244" s="4"/>
      <c r="Q244" s="4"/>
      <c r="R244" s="4"/>
      <c r="S244" s="4"/>
      <c r="T244" s="4"/>
      <c r="U244" s="4"/>
      <c r="V244" s="4"/>
      <c r="W244" s="4">
        <v>0</v>
      </c>
      <c r="X244" s="4">
        <v>1</v>
      </c>
      <c r="Y244" s="4">
        <v>0</v>
      </c>
      <c r="Z244" s="4"/>
      <c r="AA244" s="4"/>
      <c r="AB244" s="4"/>
    </row>
    <row r="245" spans="1:28" x14ac:dyDescent="0.2">
      <c r="A245" s="4">
        <v>50</v>
      </c>
      <c r="B245" s="4">
        <v>0</v>
      </c>
      <c r="C245" s="4">
        <v>0</v>
      </c>
      <c r="D245" s="4">
        <v>1</v>
      </c>
      <c r="E245" s="4">
        <v>228</v>
      </c>
      <c r="F245" s="4">
        <f>ROUND(Source!AY237,O245)</f>
        <v>45409.93</v>
      </c>
      <c r="G245" s="4" t="s">
        <v>81</v>
      </c>
      <c r="H245" s="4" t="s">
        <v>82</v>
      </c>
      <c r="I245" s="4"/>
      <c r="J245" s="4"/>
      <c r="K245" s="4">
        <v>228</v>
      </c>
      <c r="L245" s="4">
        <v>7</v>
      </c>
      <c r="M245" s="4">
        <v>3</v>
      </c>
      <c r="N245" s="4" t="s">
        <v>3</v>
      </c>
      <c r="O245" s="4">
        <v>2</v>
      </c>
      <c r="P245" s="4"/>
      <c r="Q245" s="4"/>
      <c r="R245" s="4"/>
      <c r="S245" s="4"/>
      <c r="T245" s="4"/>
      <c r="U245" s="4"/>
      <c r="V245" s="4"/>
      <c r="W245" s="4">
        <v>45409.93</v>
      </c>
      <c r="X245" s="4">
        <v>1</v>
      </c>
      <c r="Y245" s="4">
        <v>45409.93</v>
      </c>
      <c r="Z245" s="4"/>
      <c r="AA245" s="4"/>
      <c r="AB245" s="4"/>
    </row>
    <row r="246" spans="1:28" x14ac:dyDescent="0.2">
      <c r="A246" s="4">
        <v>50</v>
      </c>
      <c r="B246" s="4">
        <v>0</v>
      </c>
      <c r="C246" s="4">
        <v>0</v>
      </c>
      <c r="D246" s="4">
        <v>1</v>
      </c>
      <c r="E246" s="4">
        <v>216</v>
      </c>
      <c r="F246" s="4">
        <f>ROUND(Source!AP237,O246)</f>
        <v>2560225.0299999998</v>
      </c>
      <c r="G246" s="4" t="s">
        <v>83</v>
      </c>
      <c r="H246" s="4" t="s">
        <v>84</v>
      </c>
      <c r="I246" s="4"/>
      <c r="J246" s="4"/>
      <c r="K246" s="4">
        <v>216</v>
      </c>
      <c r="L246" s="4">
        <v>8</v>
      </c>
      <c r="M246" s="4">
        <v>3</v>
      </c>
      <c r="N246" s="4" t="s">
        <v>3</v>
      </c>
      <c r="O246" s="4">
        <v>2</v>
      </c>
      <c r="P246" s="4"/>
      <c r="Q246" s="4"/>
      <c r="R246" s="4"/>
      <c r="S246" s="4"/>
      <c r="T246" s="4"/>
      <c r="U246" s="4"/>
      <c r="V246" s="4"/>
      <c r="W246" s="4">
        <v>2560225.0299999998</v>
      </c>
      <c r="X246" s="4">
        <v>1</v>
      </c>
      <c r="Y246" s="4">
        <v>2560225.0299999998</v>
      </c>
      <c r="Z246" s="4"/>
      <c r="AA246" s="4"/>
      <c r="AB246" s="4"/>
    </row>
    <row r="247" spans="1:28" x14ac:dyDescent="0.2">
      <c r="A247" s="4">
        <v>50</v>
      </c>
      <c r="B247" s="4">
        <v>0</v>
      </c>
      <c r="C247" s="4">
        <v>0</v>
      </c>
      <c r="D247" s="4">
        <v>1</v>
      </c>
      <c r="E247" s="4">
        <v>223</v>
      </c>
      <c r="F247" s="4">
        <f>ROUND(Source!AQ237,O247)</f>
        <v>0</v>
      </c>
      <c r="G247" s="4" t="s">
        <v>85</v>
      </c>
      <c r="H247" s="4" t="s">
        <v>86</v>
      </c>
      <c r="I247" s="4"/>
      <c r="J247" s="4"/>
      <c r="K247" s="4">
        <v>223</v>
      </c>
      <c r="L247" s="4">
        <v>9</v>
      </c>
      <c r="M247" s="4">
        <v>3</v>
      </c>
      <c r="N247" s="4" t="s">
        <v>3</v>
      </c>
      <c r="O247" s="4">
        <v>2</v>
      </c>
      <c r="P247" s="4"/>
      <c r="Q247" s="4"/>
      <c r="R247" s="4"/>
      <c r="S247" s="4"/>
      <c r="T247" s="4"/>
      <c r="U247" s="4"/>
      <c r="V247" s="4"/>
      <c r="W247" s="4">
        <v>0</v>
      </c>
      <c r="X247" s="4">
        <v>1</v>
      </c>
      <c r="Y247" s="4">
        <v>0</v>
      </c>
      <c r="Z247" s="4"/>
      <c r="AA247" s="4"/>
      <c r="AB247" s="4"/>
    </row>
    <row r="248" spans="1:28" x14ac:dyDescent="0.2">
      <c r="A248" s="4">
        <v>50</v>
      </c>
      <c r="B248" s="4">
        <v>0</v>
      </c>
      <c r="C248" s="4">
        <v>0</v>
      </c>
      <c r="D248" s="4">
        <v>1</v>
      </c>
      <c r="E248" s="4">
        <v>229</v>
      </c>
      <c r="F248" s="4">
        <f>ROUND(Source!AZ237,O248)</f>
        <v>2560225.0299999998</v>
      </c>
      <c r="G248" s="4" t="s">
        <v>87</v>
      </c>
      <c r="H248" s="4" t="s">
        <v>88</v>
      </c>
      <c r="I248" s="4"/>
      <c r="J248" s="4"/>
      <c r="K248" s="4">
        <v>229</v>
      </c>
      <c r="L248" s="4">
        <v>10</v>
      </c>
      <c r="M248" s="4">
        <v>3</v>
      </c>
      <c r="N248" s="4" t="s">
        <v>3</v>
      </c>
      <c r="O248" s="4">
        <v>2</v>
      </c>
      <c r="P248" s="4"/>
      <c r="Q248" s="4"/>
      <c r="R248" s="4"/>
      <c r="S248" s="4"/>
      <c r="T248" s="4"/>
      <c r="U248" s="4"/>
      <c r="V248" s="4"/>
      <c r="W248" s="4">
        <v>2560225.0299999998</v>
      </c>
      <c r="X248" s="4">
        <v>1</v>
      </c>
      <c r="Y248" s="4">
        <v>2560225.0299999998</v>
      </c>
      <c r="Z248" s="4"/>
      <c r="AA248" s="4"/>
      <c r="AB248" s="4"/>
    </row>
    <row r="249" spans="1:28" x14ac:dyDescent="0.2">
      <c r="A249" s="4">
        <v>50</v>
      </c>
      <c r="B249" s="4">
        <v>0</v>
      </c>
      <c r="C249" s="4">
        <v>0</v>
      </c>
      <c r="D249" s="4">
        <v>1</v>
      </c>
      <c r="E249" s="4">
        <v>203</v>
      </c>
      <c r="F249" s="4">
        <f>ROUND(Source!Q237,O249)</f>
        <v>16175.52</v>
      </c>
      <c r="G249" s="4" t="s">
        <v>89</v>
      </c>
      <c r="H249" s="4" t="s">
        <v>90</v>
      </c>
      <c r="I249" s="4"/>
      <c r="J249" s="4"/>
      <c r="K249" s="4">
        <v>203</v>
      </c>
      <c r="L249" s="4">
        <v>11</v>
      </c>
      <c r="M249" s="4">
        <v>3</v>
      </c>
      <c r="N249" s="4" t="s">
        <v>3</v>
      </c>
      <c r="O249" s="4">
        <v>2</v>
      </c>
      <c r="P249" s="4"/>
      <c r="Q249" s="4"/>
      <c r="R249" s="4"/>
      <c r="S249" s="4"/>
      <c r="T249" s="4"/>
      <c r="U249" s="4"/>
      <c r="V249" s="4"/>
      <c r="W249" s="4">
        <v>16175.52</v>
      </c>
      <c r="X249" s="4">
        <v>1</v>
      </c>
      <c r="Y249" s="4">
        <v>16175.52</v>
      </c>
      <c r="Z249" s="4"/>
      <c r="AA249" s="4"/>
      <c r="AB249" s="4"/>
    </row>
    <row r="250" spans="1:28" x14ac:dyDescent="0.2">
      <c r="A250" s="4">
        <v>50</v>
      </c>
      <c r="B250" s="4">
        <v>0</v>
      </c>
      <c r="C250" s="4">
        <v>0</v>
      </c>
      <c r="D250" s="4">
        <v>1</v>
      </c>
      <c r="E250" s="4">
        <v>231</v>
      </c>
      <c r="F250" s="4">
        <f>ROUND(Source!BB237,O250)</f>
        <v>0</v>
      </c>
      <c r="G250" s="4" t="s">
        <v>91</v>
      </c>
      <c r="H250" s="4" t="s">
        <v>92</v>
      </c>
      <c r="I250" s="4"/>
      <c r="J250" s="4"/>
      <c r="K250" s="4">
        <v>231</v>
      </c>
      <c r="L250" s="4">
        <v>12</v>
      </c>
      <c r="M250" s="4">
        <v>3</v>
      </c>
      <c r="N250" s="4" t="s">
        <v>3</v>
      </c>
      <c r="O250" s="4">
        <v>2</v>
      </c>
      <c r="P250" s="4"/>
      <c r="Q250" s="4"/>
      <c r="R250" s="4"/>
      <c r="S250" s="4"/>
      <c r="T250" s="4"/>
      <c r="U250" s="4"/>
      <c r="V250" s="4"/>
      <c r="W250" s="4">
        <v>0</v>
      </c>
      <c r="X250" s="4">
        <v>1</v>
      </c>
      <c r="Y250" s="4">
        <v>0</v>
      </c>
      <c r="Z250" s="4"/>
      <c r="AA250" s="4"/>
      <c r="AB250" s="4"/>
    </row>
    <row r="251" spans="1:28" x14ac:dyDescent="0.2">
      <c r="A251" s="4">
        <v>50</v>
      </c>
      <c r="B251" s="4">
        <v>0</v>
      </c>
      <c r="C251" s="4">
        <v>0</v>
      </c>
      <c r="D251" s="4">
        <v>1</v>
      </c>
      <c r="E251" s="4">
        <v>204</v>
      </c>
      <c r="F251" s="4">
        <f>ROUND(Source!R237,O251)</f>
        <v>6683.02</v>
      </c>
      <c r="G251" s="4" t="s">
        <v>93</v>
      </c>
      <c r="H251" s="4" t="s">
        <v>94</v>
      </c>
      <c r="I251" s="4"/>
      <c r="J251" s="4"/>
      <c r="K251" s="4">
        <v>204</v>
      </c>
      <c r="L251" s="4">
        <v>13</v>
      </c>
      <c r="M251" s="4">
        <v>3</v>
      </c>
      <c r="N251" s="4" t="s">
        <v>3</v>
      </c>
      <c r="O251" s="4">
        <v>2</v>
      </c>
      <c r="P251" s="4"/>
      <c r="Q251" s="4"/>
      <c r="R251" s="4"/>
      <c r="S251" s="4"/>
      <c r="T251" s="4"/>
      <c r="U251" s="4"/>
      <c r="V251" s="4"/>
      <c r="W251" s="4">
        <v>6683.02</v>
      </c>
      <c r="X251" s="4">
        <v>1</v>
      </c>
      <c r="Y251" s="4">
        <v>6683.02</v>
      </c>
      <c r="Z251" s="4"/>
      <c r="AA251" s="4"/>
      <c r="AB251" s="4"/>
    </row>
    <row r="252" spans="1:28" x14ac:dyDescent="0.2">
      <c r="A252" s="4">
        <v>50</v>
      </c>
      <c r="B252" s="4">
        <v>0</v>
      </c>
      <c r="C252" s="4">
        <v>0</v>
      </c>
      <c r="D252" s="4">
        <v>1</v>
      </c>
      <c r="E252" s="4">
        <v>205</v>
      </c>
      <c r="F252" s="4">
        <f>ROUND(Source!S237,O252)</f>
        <v>153651.37</v>
      </c>
      <c r="G252" s="4" t="s">
        <v>95</v>
      </c>
      <c r="H252" s="4" t="s">
        <v>96</v>
      </c>
      <c r="I252" s="4"/>
      <c r="J252" s="4"/>
      <c r="K252" s="4">
        <v>205</v>
      </c>
      <c r="L252" s="4">
        <v>14</v>
      </c>
      <c r="M252" s="4">
        <v>3</v>
      </c>
      <c r="N252" s="4" t="s">
        <v>3</v>
      </c>
      <c r="O252" s="4">
        <v>2</v>
      </c>
      <c r="P252" s="4"/>
      <c r="Q252" s="4"/>
      <c r="R252" s="4"/>
      <c r="S252" s="4"/>
      <c r="T252" s="4"/>
      <c r="U252" s="4"/>
      <c r="V252" s="4"/>
      <c r="W252" s="4">
        <v>153651.37</v>
      </c>
      <c r="X252" s="4">
        <v>1</v>
      </c>
      <c r="Y252" s="4">
        <v>153651.37</v>
      </c>
      <c r="Z252" s="4"/>
      <c r="AA252" s="4"/>
      <c r="AB252" s="4"/>
    </row>
    <row r="253" spans="1:28" x14ac:dyDescent="0.2">
      <c r="A253" s="4">
        <v>50</v>
      </c>
      <c r="B253" s="4">
        <v>0</v>
      </c>
      <c r="C253" s="4">
        <v>0</v>
      </c>
      <c r="D253" s="4">
        <v>1</v>
      </c>
      <c r="E253" s="4">
        <v>232</v>
      </c>
      <c r="F253" s="4">
        <f>ROUND(Source!BC237,O253)</f>
        <v>0</v>
      </c>
      <c r="G253" s="4" t="s">
        <v>97</v>
      </c>
      <c r="H253" s="4" t="s">
        <v>98</v>
      </c>
      <c r="I253" s="4"/>
      <c r="J253" s="4"/>
      <c r="K253" s="4">
        <v>232</v>
      </c>
      <c r="L253" s="4">
        <v>15</v>
      </c>
      <c r="M253" s="4">
        <v>3</v>
      </c>
      <c r="N253" s="4" t="s">
        <v>3</v>
      </c>
      <c r="O253" s="4">
        <v>2</v>
      </c>
      <c r="P253" s="4"/>
      <c r="Q253" s="4"/>
      <c r="R253" s="4"/>
      <c r="S253" s="4"/>
      <c r="T253" s="4"/>
      <c r="U253" s="4"/>
      <c r="V253" s="4"/>
      <c r="W253" s="4">
        <v>0</v>
      </c>
      <c r="X253" s="4">
        <v>1</v>
      </c>
      <c r="Y253" s="4">
        <v>0</v>
      </c>
      <c r="Z253" s="4"/>
      <c r="AA253" s="4"/>
      <c r="AB253" s="4"/>
    </row>
    <row r="254" spans="1:28" x14ac:dyDescent="0.2">
      <c r="A254" s="4">
        <v>50</v>
      </c>
      <c r="B254" s="4">
        <v>0</v>
      </c>
      <c r="C254" s="4">
        <v>0</v>
      </c>
      <c r="D254" s="4">
        <v>1</v>
      </c>
      <c r="E254" s="4">
        <v>214</v>
      </c>
      <c r="F254" s="4">
        <f>ROUND(Source!AS237,O254)</f>
        <v>72955.61</v>
      </c>
      <c r="G254" s="4" t="s">
        <v>99</v>
      </c>
      <c r="H254" s="4" t="s">
        <v>100</v>
      </c>
      <c r="I254" s="4"/>
      <c r="J254" s="4"/>
      <c r="K254" s="4">
        <v>214</v>
      </c>
      <c r="L254" s="4">
        <v>16</v>
      </c>
      <c r="M254" s="4">
        <v>3</v>
      </c>
      <c r="N254" s="4" t="s">
        <v>3</v>
      </c>
      <c r="O254" s="4">
        <v>2</v>
      </c>
      <c r="P254" s="4"/>
      <c r="Q254" s="4"/>
      <c r="R254" s="4"/>
      <c r="S254" s="4"/>
      <c r="T254" s="4"/>
      <c r="U254" s="4"/>
      <c r="V254" s="4"/>
      <c r="W254" s="4">
        <v>72955.61</v>
      </c>
      <c r="X254" s="4">
        <v>1</v>
      </c>
      <c r="Y254" s="4">
        <v>72955.61</v>
      </c>
      <c r="Z254" s="4"/>
      <c r="AA254" s="4"/>
      <c r="AB254" s="4"/>
    </row>
    <row r="255" spans="1:28" x14ac:dyDescent="0.2">
      <c r="A255" s="4">
        <v>50</v>
      </c>
      <c r="B255" s="4">
        <v>0</v>
      </c>
      <c r="C255" s="4">
        <v>0</v>
      </c>
      <c r="D255" s="4">
        <v>1</v>
      </c>
      <c r="E255" s="4">
        <v>215</v>
      </c>
      <c r="F255" s="4">
        <f>ROUND(Source!AT237,O255)</f>
        <v>114079.89</v>
      </c>
      <c r="G255" s="4" t="s">
        <v>101</v>
      </c>
      <c r="H255" s="4" t="s">
        <v>102</v>
      </c>
      <c r="I255" s="4"/>
      <c r="J255" s="4"/>
      <c r="K255" s="4">
        <v>215</v>
      </c>
      <c r="L255" s="4">
        <v>17</v>
      </c>
      <c r="M255" s="4">
        <v>3</v>
      </c>
      <c r="N255" s="4" t="s">
        <v>3</v>
      </c>
      <c r="O255" s="4">
        <v>2</v>
      </c>
      <c r="P255" s="4"/>
      <c r="Q255" s="4"/>
      <c r="R255" s="4"/>
      <c r="S255" s="4"/>
      <c r="T255" s="4"/>
      <c r="U255" s="4"/>
      <c r="V255" s="4"/>
      <c r="W255" s="4">
        <v>114079.89</v>
      </c>
      <c r="X255" s="4">
        <v>1</v>
      </c>
      <c r="Y255" s="4">
        <v>114079.89</v>
      </c>
      <c r="Z255" s="4"/>
      <c r="AA255" s="4"/>
      <c r="AB255" s="4"/>
    </row>
    <row r="256" spans="1:28" x14ac:dyDescent="0.2">
      <c r="A256" s="4">
        <v>50</v>
      </c>
      <c r="B256" s="4">
        <v>0</v>
      </c>
      <c r="C256" s="4">
        <v>0</v>
      </c>
      <c r="D256" s="4">
        <v>1</v>
      </c>
      <c r="E256" s="4">
        <v>217</v>
      </c>
      <c r="F256" s="4">
        <f>ROUND(Source!AU237,O256)</f>
        <v>221992.66</v>
      </c>
      <c r="G256" s="4" t="s">
        <v>103</v>
      </c>
      <c r="H256" s="4" t="s">
        <v>104</v>
      </c>
      <c r="I256" s="4"/>
      <c r="J256" s="4"/>
      <c r="K256" s="4">
        <v>217</v>
      </c>
      <c r="L256" s="4">
        <v>18</v>
      </c>
      <c r="M256" s="4">
        <v>3</v>
      </c>
      <c r="N256" s="4" t="s">
        <v>3</v>
      </c>
      <c r="O256" s="4">
        <v>2</v>
      </c>
      <c r="P256" s="4"/>
      <c r="Q256" s="4"/>
      <c r="R256" s="4"/>
      <c r="S256" s="4"/>
      <c r="T256" s="4"/>
      <c r="U256" s="4"/>
      <c r="V256" s="4"/>
      <c r="W256" s="4">
        <v>221992.66</v>
      </c>
      <c r="X256" s="4">
        <v>1</v>
      </c>
      <c r="Y256" s="4">
        <v>221992.66</v>
      </c>
      <c r="Z256" s="4"/>
      <c r="AA256" s="4"/>
      <c r="AB256" s="4"/>
    </row>
    <row r="257" spans="1:28" x14ac:dyDescent="0.2">
      <c r="A257" s="4">
        <v>50</v>
      </c>
      <c r="B257" s="4">
        <v>0</v>
      </c>
      <c r="C257" s="4">
        <v>0</v>
      </c>
      <c r="D257" s="4">
        <v>1</v>
      </c>
      <c r="E257" s="4">
        <v>230</v>
      </c>
      <c r="F257" s="4">
        <f>ROUND(Source!BA237,O257)</f>
        <v>0</v>
      </c>
      <c r="G257" s="4" t="s">
        <v>105</v>
      </c>
      <c r="H257" s="4" t="s">
        <v>106</v>
      </c>
      <c r="I257" s="4"/>
      <c r="J257" s="4"/>
      <c r="K257" s="4">
        <v>230</v>
      </c>
      <c r="L257" s="4">
        <v>19</v>
      </c>
      <c r="M257" s="4">
        <v>3</v>
      </c>
      <c r="N257" s="4" t="s">
        <v>3</v>
      </c>
      <c r="O257" s="4">
        <v>2</v>
      </c>
      <c r="P257" s="4"/>
      <c r="Q257" s="4"/>
      <c r="R257" s="4"/>
      <c r="S257" s="4"/>
      <c r="T257" s="4"/>
      <c r="U257" s="4"/>
      <c r="V257" s="4"/>
      <c r="W257" s="4">
        <v>0</v>
      </c>
      <c r="X257" s="4">
        <v>1</v>
      </c>
      <c r="Y257" s="4">
        <v>0</v>
      </c>
      <c r="Z257" s="4"/>
      <c r="AA257" s="4"/>
      <c r="AB257" s="4"/>
    </row>
    <row r="258" spans="1:28" x14ac:dyDescent="0.2">
      <c r="A258" s="4">
        <v>50</v>
      </c>
      <c r="B258" s="4">
        <v>0</v>
      </c>
      <c r="C258" s="4">
        <v>0</v>
      </c>
      <c r="D258" s="4">
        <v>1</v>
      </c>
      <c r="E258" s="4">
        <v>206</v>
      </c>
      <c r="F258" s="4">
        <f>ROUND(Source!T237,O258)</f>
        <v>0</v>
      </c>
      <c r="G258" s="4" t="s">
        <v>107</v>
      </c>
      <c r="H258" s="4" t="s">
        <v>108</v>
      </c>
      <c r="I258" s="4"/>
      <c r="J258" s="4"/>
      <c r="K258" s="4">
        <v>206</v>
      </c>
      <c r="L258" s="4">
        <v>20</v>
      </c>
      <c r="M258" s="4">
        <v>3</v>
      </c>
      <c r="N258" s="4" t="s">
        <v>3</v>
      </c>
      <c r="O258" s="4">
        <v>2</v>
      </c>
      <c r="P258" s="4"/>
      <c r="Q258" s="4"/>
      <c r="R258" s="4"/>
      <c r="S258" s="4"/>
      <c r="T258" s="4"/>
      <c r="U258" s="4"/>
      <c r="V258" s="4"/>
      <c r="W258" s="4">
        <v>0</v>
      </c>
      <c r="X258" s="4">
        <v>1</v>
      </c>
      <c r="Y258" s="4">
        <v>0</v>
      </c>
      <c r="Z258" s="4"/>
      <c r="AA258" s="4"/>
      <c r="AB258" s="4"/>
    </row>
    <row r="259" spans="1:28" x14ac:dyDescent="0.2">
      <c r="A259" s="4">
        <v>50</v>
      </c>
      <c r="B259" s="4">
        <v>0</v>
      </c>
      <c r="C259" s="4">
        <v>0</v>
      </c>
      <c r="D259" s="4">
        <v>1</v>
      </c>
      <c r="E259" s="4">
        <v>207</v>
      </c>
      <c r="F259" s="4">
        <f>Source!U237</f>
        <v>367.59637970999995</v>
      </c>
      <c r="G259" s="4" t="s">
        <v>109</v>
      </c>
      <c r="H259" s="4" t="s">
        <v>110</v>
      </c>
      <c r="I259" s="4"/>
      <c r="J259" s="4"/>
      <c r="K259" s="4">
        <v>207</v>
      </c>
      <c r="L259" s="4">
        <v>21</v>
      </c>
      <c r="M259" s="4">
        <v>3</v>
      </c>
      <c r="N259" s="4" t="s">
        <v>3</v>
      </c>
      <c r="O259" s="4">
        <v>-1</v>
      </c>
      <c r="P259" s="4"/>
      <c r="Q259" s="4"/>
      <c r="R259" s="4"/>
      <c r="S259" s="4"/>
      <c r="T259" s="4"/>
      <c r="U259" s="4"/>
      <c r="V259" s="4"/>
      <c r="W259" s="4">
        <v>367.59637971000001</v>
      </c>
      <c r="X259" s="4">
        <v>1</v>
      </c>
      <c r="Y259" s="4">
        <v>367.59637971000001</v>
      </c>
      <c r="Z259" s="4"/>
      <c r="AA259" s="4"/>
      <c r="AB259" s="4"/>
    </row>
    <row r="260" spans="1:28" x14ac:dyDescent="0.2">
      <c r="A260" s="4">
        <v>50</v>
      </c>
      <c r="B260" s="4">
        <v>0</v>
      </c>
      <c r="C260" s="4">
        <v>0</v>
      </c>
      <c r="D260" s="4">
        <v>1</v>
      </c>
      <c r="E260" s="4">
        <v>208</v>
      </c>
      <c r="F260" s="4">
        <f>Source!V237</f>
        <v>0</v>
      </c>
      <c r="G260" s="4" t="s">
        <v>111</v>
      </c>
      <c r="H260" s="4" t="s">
        <v>112</v>
      </c>
      <c r="I260" s="4"/>
      <c r="J260" s="4"/>
      <c r="K260" s="4">
        <v>208</v>
      </c>
      <c r="L260" s="4">
        <v>22</v>
      </c>
      <c r="M260" s="4">
        <v>3</v>
      </c>
      <c r="N260" s="4" t="s">
        <v>3</v>
      </c>
      <c r="O260" s="4">
        <v>-1</v>
      </c>
      <c r="P260" s="4"/>
      <c r="Q260" s="4"/>
      <c r="R260" s="4"/>
      <c r="S260" s="4"/>
      <c r="T260" s="4"/>
      <c r="U260" s="4"/>
      <c r="V260" s="4"/>
      <c r="W260" s="4">
        <v>0</v>
      </c>
      <c r="X260" s="4">
        <v>1</v>
      </c>
      <c r="Y260" s="4">
        <v>0</v>
      </c>
      <c r="Z260" s="4"/>
      <c r="AA260" s="4"/>
      <c r="AB260" s="4"/>
    </row>
    <row r="261" spans="1:28" x14ac:dyDescent="0.2">
      <c r="A261" s="4">
        <v>50</v>
      </c>
      <c r="B261" s="4">
        <v>0</v>
      </c>
      <c r="C261" s="4">
        <v>0</v>
      </c>
      <c r="D261" s="4">
        <v>1</v>
      </c>
      <c r="E261" s="4">
        <v>209</v>
      </c>
      <c r="F261" s="4">
        <f>ROUND(Source!W237,O261)</f>
        <v>0</v>
      </c>
      <c r="G261" s="4" t="s">
        <v>113</v>
      </c>
      <c r="H261" s="4" t="s">
        <v>114</v>
      </c>
      <c r="I261" s="4"/>
      <c r="J261" s="4"/>
      <c r="K261" s="4">
        <v>209</v>
      </c>
      <c r="L261" s="4">
        <v>23</v>
      </c>
      <c r="M261" s="4">
        <v>3</v>
      </c>
      <c r="N261" s="4" t="s">
        <v>3</v>
      </c>
      <c r="O261" s="4">
        <v>2</v>
      </c>
      <c r="P261" s="4"/>
      <c r="Q261" s="4"/>
      <c r="R261" s="4"/>
      <c r="S261" s="4"/>
      <c r="T261" s="4"/>
      <c r="U261" s="4"/>
      <c r="V261" s="4"/>
      <c r="W261" s="4">
        <v>0</v>
      </c>
      <c r="X261" s="4">
        <v>1</v>
      </c>
      <c r="Y261" s="4">
        <v>0</v>
      </c>
      <c r="Z261" s="4"/>
      <c r="AA261" s="4"/>
      <c r="AB261" s="4"/>
    </row>
    <row r="262" spans="1:28" x14ac:dyDescent="0.2">
      <c r="A262" s="4">
        <v>50</v>
      </c>
      <c r="B262" s="4">
        <v>0</v>
      </c>
      <c r="C262" s="4">
        <v>0</v>
      </c>
      <c r="D262" s="4">
        <v>1</v>
      </c>
      <c r="E262" s="4">
        <v>233</v>
      </c>
      <c r="F262" s="4">
        <f>ROUND(Source!BD237,O262)</f>
        <v>0</v>
      </c>
      <c r="G262" s="4" t="s">
        <v>115</v>
      </c>
      <c r="H262" s="4" t="s">
        <v>116</v>
      </c>
      <c r="I262" s="4"/>
      <c r="J262" s="4"/>
      <c r="K262" s="4">
        <v>233</v>
      </c>
      <c r="L262" s="4">
        <v>24</v>
      </c>
      <c r="M262" s="4">
        <v>3</v>
      </c>
      <c r="N262" s="4" t="s">
        <v>3</v>
      </c>
      <c r="O262" s="4">
        <v>2</v>
      </c>
      <c r="P262" s="4"/>
      <c r="Q262" s="4"/>
      <c r="R262" s="4"/>
      <c r="S262" s="4"/>
      <c r="T262" s="4"/>
      <c r="U262" s="4"/>
      <c r="V262" s="4"/>
      <c r="W262" s="4">
        <v>0</v>
      </c>
      <c r="X262" s="4">
        <v>1</v>
      </c>
      <c r="Y262" s="4">
        <v>0</v>
      </c>
      <c r="Z262" s="4"/>
      <c r="AA262" s="4"/>
      <c r="AB262" s="4"/>
    </row>
    <row r="263" spans="1:28" x14ac:dyDescent="0.2">
      <c r="A263" s="4">
        <v>50</v>
      </c>
      <c r="B263" s="4">
        <v>0</v>
      </c>
      <c r="C263" s="4">
        <v>0</v>
      </c>
      <c r="D263" s="4">
        <v>1</v>
      </c>
      <c r="E263" s="4">
        <v>210</v>
      </c>
      <c r="F263" s="4">
        <f>ROUND(Source!X237,O263)</f>
        <v>118862.46</v>
      </c>
      <c r="G263" s="4" t="s">
        <v>117</v>
      </c>
      <c r="H263" s="4" t="s">
        <v>118</v>
      </c>
      <c r="I263" s="4"/>
      <c r="J263" s="4"/>
      <c r="K263" s="4">
        <v>210</v>
      </c>
      <c r="L263" s="4">
        <v>25</v>
      </c>
      <c r="M263" s="4">
        <v>3</v>
      </c>
      <c r="N263" s="4" t="s">
        <v>3</v>
      </c>
      <c r="O263" s="4">
        <v>2</v>
      </c>
      <c r="P263" s="4"/>
      <c r="Q263" s="4"/>
      <c r="R263" s="4"/>
      <c r="S263" s="4"/>
      <c r="T263" s="4"/>
      <c r="U263" s="4"/>
      <c r="V263" s="4"/>
      <c r="W263" s="4">
        <v>118862.46</v>
      </c>
      <c r="X263" s="4">
        <v>1</v>
      </c>
      <c r="Y263" s="4">
        <v>118862.46</v>
      </c>
      <c r="Z263" s="4"/>
      <c r="AA263" s="4"/>
      <c r="AB263" s="4"/>
    </row>
    <row r="264" spans="1:28" x14ac:dyDescent="0.2">
      <c r="A264" s="4">
        <v>50</v>
      </c>
      <c r="B264" s="4">
        <v>0</v>
      </c>
      <c r="C264" s="4">
        <v>0</v>
      </c>
      <c r="D264" s="4">
        <v>1</v>
      </c>
      <c r="E264" s="4">
        <v>211</v>
      </c>
      <c r="F264" s="4">
        <f>ROUND(Source!Y237,O264)</f>
        <v>64236.05</v>
      </c>
      <c r="G264" s="4" t="s">
        <v>119</v>
      </c>
      <c r="H264" s="4" t="s">
        <v>120</v>
      </c>
      <c r="I264" s="4"/>
      <c r="J264" s="4"/>
      <c r="K264" s="4">
        <v>211</v>
      </c>
      <c r="L264" s="4">
        <v>26</v>
      </c>
      <c r="M264" s="4">
        <v>3</v>
      </c>
      <c r="N264" s="4" t="s">
        <v>3</v>
      </c>
      <c r="O264" s="4">
        <v>2</v>
      </c>
      <c r="P264" s="4"/>
      <c r="Q264" s="4"/>
      <c r="R264" s="4"/>
      <c r="S264" s="4"/>
      <c r="T264" s="4"/>
      <c r="U264" s="4"/>
      <c r="V264" s="4"/>
      <c r="W264" s="4">
        <v>64236.05</v>
      </c>
      <c r="X264" s="4">
        <v>1</v>
      </c>
      <c r="Y264" s="4">
        <v>64236.05</v>
      </c>
      <c r="Z264" s="4"/>
      <c r="AA264" s="4"/>
      <c r="AB264" s="4"/>
    </row>
    <row r="265" spans="1:28" x14ac:dyDescent="0.2">
      <c r="A265" s="4">
        <v>50</v>
      </c>
      <c r="B265" s="4">
        <v>0</v>
      </c>
      <c r="C265" s="4">
        <v>0</v>
      </c>
      <c r="D265" s="4">
        <v>1</v>
      </c>
      <c r="E265" s="4">
        <v>224</v>
      </c>
      <c r="F265" s="4">
        <f>ROUND(Source!AR237,O265)</f>
        <v>2969253.19</v>
      </c>
      <c r="G265" s="4" t="s">
        <v>121</v>
      </c>
      <c r="H265" s="4" t="s">
        <v>122</v>
      </c>
      <c r="I265" s="4"/>
      <c r="J265" s="4"/>
      <c r="K265" s="4">
        <v>224</v>
      </c>
      <c r="L265" s="4">
        <v>27</v>
      </c>
      <c r="M265" s="4">
        <v>3</v>
      </c>
      <c r="N265" s="4" t="s">
        <v>3</v>
      </c>
      <c r="O265" s="4">
        <v>2</v>
      </c>
      <c r="P265" s="4"/>
      <c r="Q265" s="4"/>
      <c r="R265" s="4"/>
      <c r="S265" s="4"/>
      <c r="T265" s="4"/>
      <c r="U265" s="4"/>
      <c r="V265" s="4"/>
      <c r="W265" s="4">
        <v>2969253.19</v>
      </c>
      <c r="X265" s="4">
        <v>1</v>
      </c>
      <c r="Y265" s="4">
        <v>2969253.19</v>
      </c>
      <c r="Z265" s="4"/>
      <c r="AA265" s="4"/>
      <c r="AB265" s="4"/>
    </row>
    <row r="267" spans="1:28" x14ac:dyDescent="0.2">
      <c r="A267">
        <v>71</v>
      </c>
      <c r="B267">
        <v>1</v>
      </c>
      <c r="D267">
        <v>381</v>
      </c>
      <c r="E267">
        <v>20418714</v>
      </c>
      <c r="F267" t="s">
        <v>3</v>
      </c>
      <c r="G267" t="s">
        <v>3</v>
      </c>
      <c r="H267">
        <v>-1</v>
      </c>
      <c r="I267">
        <v>-1</v>
      </c>
    </row>
    <row r="270" spans="1:28" x14ac:dyDescent="0.2">
      <c r="A270">
        <v>-1</v>
      </c>
    </row>
    <row r="272" spans="1:28" x14ac:dyDescent="0.2">
      <c r="A272" s="3">
        <v>75</v>
      </c>
      <c r="B272" s="3" t="s">
        <v>278</v>
      </c>
      <c r="C272" s="3">
        <v>2022</v>
      </c>
      <c r="D272" s="3">
        <v>0</v>
      </c>
      <c r="E272" s="3">
        <v>12</v>
      </c>
      <c r="F272" s="3"/>
      <c r="G272" s="3">
        <v>0</v>
      </c>
      <c r="H272" s="3">
        <v>2</v>
      </c>
      <c r="I272" s="3">
        <v>1</v>
      </c>
      <c r="J272" s="3">
        <v>1</v>
      </c>
      <c r="K272" s="3">
        <v>95</v>
      </c>
      <c r="L272" s="3">
        <v>65</v>
      </c>
      <c r="M272" s="3">
        <v>0</v>
      </c>
      <c r="N272" s="3">
        <v>59267179</v>
      </c>
      <c r="O272" s="3">
        <v>1</v>
      </c>
    </row>
    <row r="273" spans="1:40" x14ac:dyDescent="0.2">
      <c r="A273" s="5">
        <v>1</v>
      </c>
      <c r="B273" s="5" t="s">
        <v>279</v>
      </c>
      <c r="C273" s="5" t="s">
        <v>280</v>
      </c>
      <c r="D273" s="5">
        <v>2022</v>
      </c>
      <c r="E273" s="5">
        <v>12</v>
      </c>
      <c r="F273" s="5">
        <v>1</v>
      </c>
      <c r="G273" s="5">
        <v>1</v>
      </c>
      <c r="H273" s="5">
        <v>0</v>
      </c>
      <c r="I273" s="5">
        <v>2</v>
      </c>
      <c r="J273" s="5">
        <v>1</v>
      </c>
      <c r="K273" s="5">
        <v>1</v>
      </c>
      <c r="L273" s="5">
        <v>1</v>
      </c>
      <c r="M273" s="5">
        <v>1</v>
      </c>
      <c r="N273" s="5">
        <v>1</v>
      </c>
      <c r="O273" s="5">
        <v>1</v>
      </c>
      <c r="P273" s="5">
        <v>1</v>
      </c>
      <c r="Q273" s="5">
        <v>1</v>
      </c>
      <c r="R273" s="5" t="s">
        <v>3</v>
      </c>
      <c r="S273" s="5" t="s">
        <v>3</v>
      </c>
      <c r="T273" s="5" t="s">
        <v>3</v>
      </c>
      <c r="U273" s="5" t="s">
        <v>3</v>
      </c>
      <c r="V273" s="5" t="s">
        <v>3</v>
      </c>
      <c r="W273" s="5" t="s">
        <v>3</v>
      </c>
      <c r="X273" s="5" t="s">
        <v>3</v>
      </c>
      <c r="Y273" s="5" t="s">
        <v>3</v>
      </c>
      <c r="Z273" s="5" t="s">
        <v>3</v>
      </c>
      <c r="AA273" s="5" t="s">
        <v>281</v>
      </c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>
        <v>59267180</v>
      </c>
    </row>
    <row r="277" spans="1:40" x14ac:dyDescent="0.2">
      <c r="A277">
        <v>65</v>
      </c>
      <c r="C277">
        <v>1</v>
      </c>
      <c r="D277">
        <v>0</v>
      </c>
      <c r="E277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5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282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34137</v>
      </c>
      <c r="M1">
        <v>10</v>
      </c>
      <c r="N1">
        <v>11</v>
      </c>
      <c r="O1">
        <v>6</v>
      </c>
      <c r="P1">
        <v>1</v>
      </c>
      <c r="Q1">
        <v>0</v>
      </c>
    </row>
    <row r="12" spans="1:133" x14ac:dyDescent="0.2">
      <c r="A12" s="1">
        <v>1</v>
      </c>
      <c r="B12" s="1">
        <v>51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160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0</v>
      </c>
      <c r="BK12" s="1">
        <v>0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1</v>
      </c>
      <c r="BU12" s="1">
        <v>0</v>
      </c>
      <c r="BV12" s="1">
        <v>1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8200</v>
      </c>
      <c r="CI12" s="1" t="s">
        <v>3</v>
      </c>
      <c r="CJ12" s="1" t="s">
        <v>3</v>
      </c>
      <c r="CK12" s="1">
        <v>66</v>
      </c>
      <c r="CL12" s="1"/>
      <c r="CM12" s="1"/>
      <c r="CN12" s="1"/>
      <c r="CO12" s="1"/>
      <c r="CP12" s="1"/>
      <c r="CQ12" s="1" t="s">
        <v>12</v>
      </c>
      <c r="CR12" s="1" t="s">
        <v>13</v>
      </c>
      <c r="CS12" s="1">
        <v>41660</v>
      </c>
      <c r="CT12" s="1">
        <v>1</v>
      </c>
      <c r="CU12" s="1">
        <v>66</v>
      </c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59267179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0</v>
      </c>
      <c r="C16" s="6" t="s">
        <v>14</v>
      </c>
      <c r="D16" s="6" t="s">
        <v>331</v>
      </c>
      <c r="E16" s="7">
        <f>ROUND((Source!F224)/1000,2)</f>
        <v>72.959999999999994</v>
      </c>
      <c r="F16" s="7">
        <f>ROUND((Source!F225)/1000,2)</f>
        <v>114.08</v>
      </c>
      <c r="G16" s="7">
        <f>ROUND((Source!F216)/1000,2)</f>
        <v>2560.23</v>
      </c>
      <c r="H16" s="7">
        <f>ROUND((Source!F226)/1000+(Source!F227)/1000,2)</f>
        <v>221.99</v>
      </c>
      <c r="I16" s="7">
        <f>E16+F16+G16+H16</f>
        <v>2969.26</v>
      </c>
      <c r="J16" s="7">
        <f>ROUND((Source!F222+Source!F221)/1000,2)</f>
        <v>160.33000000000001</v>
      </c>
      <c r="AI16" s="6">
        <v>0</v>
      </c>
      <c r="AJ16" s="6">
        <v>-1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2775461.85</v>
      </c>
      <c r="AU16" s="7">
        <v>2605634.96</v>
      </c>
      <c r="AV16" s="7">
        <v>0</v>
      </c>
      <c r="AW16" s="7">
        <v>2560225.0299999998</v>
      </c>
      <c r="AX16" s="7">
        <v>0</v>
      </c>
      <c r="AY16" s="7">
        <v>16175.52</v>
      </c>
      <c r="AZ16" s="7">
        <v>6683.02</v>
      </c>
      <c r="BA16" s="7">
        <v>153651.37</v>
      </c>
      <c r="BB16" s="7">
        <v>72955.61</v>
      </c>
      <c r="BC16" s="7">
        <v>114079.89</v>
      </c>
      <c r="BD16" s="7">
        <v>221992.66</v>
      </c>
      <c r="BE16" s="7">
        <v>0</v>
      </c>
      <c r="BF16" s="7">
        <v>367.59637971000001</v>
      </c>
      <c r="BG16" s="7">
        <v>0</v>
      </c>
      <c r="BH16" s="7">
        <v>0</v>
      </c>
      <c r="BI16" s="7">
        <v>118862.46</v>
      </c>
      <c r="BJ16" s="7">
        <v>64236.05</v>
      </c>
      <c r="BK16" s="7">
        <v>2969253.19</v>
      </c>
    </row>
    <row r="18" spans="1:19" x14ac:dyDescent="0.2">
      <c r="A18">
        <v>51</v>
      </c>
      <c r="E18" s="8">
        <f>SUMIF(A16:A17,3,E16:E17)</f>
        <v>72.959999999999994</v>
      </c>
      <c r="F18" s="8">
        <f>SUMIF(A16:A17,3,F16:F17)</f>
        <v>114.08</v>
      </c>
      <c r="G18" s="8">
        <f>SUMIF(A16:A17,3,G16:G17)</f>
        <v>2560.23</v>
      </c>
      <c r="H18" s="8">
        <f>SUMIF(A16:A17,3,H16:H17)</f>
        <v>221.99</v>
      </c>
      <c r="I18" s="8">
        <f>SUMIF(A16:A17,3,I16:I17)</f>
        <v>2969.26</v>
      </c>
      <c r="J18" s="8">
        <f>SUMIF(A16:A17,3,J16:J17)</f>
        <v>160.33000000000001</v>
      </c>
      <c r="K18" s="8"/>
      <c r="L18" s="8"/>
      <c r="M18" s="8"/>
      <c r="N18" s="8"/>
      <c r="O18" s="8"/>
      <c r="P18" s="8"/>
      <c r="Q18" s="8"/>
      <c r="R18" s="8"/>
      <c r="S18" s="8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2775461.85</v>
      </c>
      <c r="G20" s="4" t="s">
        <v>69</v>
      </c>
      <c r="H20" s="4" t="s">
        <v>70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2605634.96</v>
      </c>
      <c r="G21" s="4" t="s">
        <v>71</v>
      </c>
      <c r="H21" s="4" t="s">
        <v>72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73</v>
      </c>
      <c r="H22" s="4" t="s">
        <v>74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2605634.96</v>
      </c>
      <c r="G23" s="4" t="s">
        <v>75</v>
      </c>
      <c r="H23" s="4" t="s">
        <v>76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45409.93</v>
      </c>
      <c r="G24" s="4" t="s">
        <v>77</v>
      </c>
      <c r="H24" s="4" t="s">
        <v>78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79</v>
      </c>
      <c r="H25" s="4" t="s">
        <v>80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45409.93</v>
      </c>
      <c r="G26" s="4" t="s">
        <v>81</v>
      </c>
      <c r="H26" s="4" t="s">
        <v>82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2560225.0299999998</v>
      </c>
      <c r="G27" s="4" t="s">
        <v>83</v>
      </c>
      <c r="H27" s="4" t="s">
        <v>84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85</v>
      </c>
      <c r="H28" s="4" t="s">
        <v>86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2560225.0299999998</v>
      </c>
      <c r="G29" s="4" t="s">
        <v>87</v>
      </c>
      <c r="H29" s="4" t="s">
        <v>88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16175.52</v>
      </c>
      <c r="G30" s="4" t="s">
        <v>89</v>
      </c>
      <c r="H30" s="4" t="s">
        <v>90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91</v>
      </c>
      <c r="H31" s="4" t="s">
        <v>92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6683.02</v>
      </c>
      <c r="G32" s="4" t="s">
        <v>93</v>
      </c>
      <c r="H32" s="4" t="s">
        <v>94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153651.37</v>
      </c>
      <c r="G33" s="4" t="s">
        <v>95</v>
      </c>
      <c r="H33" s="4" t="s">
        <v>96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97</v>
      </c>
      <c r="H34" s="4" t="s">
        <v>98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72955.61</v>
      </c>
      <c r="G35" s="4" t="s">
        <v>99</v>
      </c>
      <c r="H35" s="4" t="s">
        <v>100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114079.89</v>
      </c>
      <c r="G36" s="4" t="s">
        <v>101</v>
      </c>
      <c r="H36" s="4" t="s">
        <v>102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221992.66</v>
      </c>
      <c r="G37" s="4" t="s">
        <v>103</v>
      </c>
      <c r="H37" s="4" t="s">
        <v>104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105</v>
      </c>
      <c r="H38" s="4" t="s">
        <v>106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107</v>
      </c>
      <c r="H39" s="4" t="s">
        <v>108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367.59637971000001</v>
      </c>
      <c r="G40" s="4" t="s">
        <v>109</v>
      </c>
      <c r="H40" s="4" t="s">
        <v>110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111</v>
      </c>
      <c r="H41" s="4" t="s">
        <v>112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113</v>
      </c>
      <c r="H42" s="4" t="s">
        <v>114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115</v>
      </c>
      <c r="H43" s="4" t="s">
        <v>116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118862.46</v>
      </c>
      <c r="G44" s="4" t="s">
        <v>117</v>
      </c>
      <c r="H44" s="4" t="s">
        <v>118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64236.05</v>
      </c>
      <c r="G45" s="4" t="s">
        <v>119</v>
      </c>
      <c r="H45" s="4" t="s">
        <v>120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2969253.19</v>
      </c>
      <c r="G46" s="4" t="s">
        <v>121</v>
      </c>
      <c r="H46" s="4" t="s">
        <v>122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8" spans="1:16" x14ac:dyDescent="0.2">
      <c r="A48">
        <v>-1</v>
      </c>
    </row>
    <row r="51" spans="1:40" x14ac:dyDescent="0.2">
      <c r="A51" s="3">
        <v>75</v>
      </c>
      <c r="B51" s="3" t="s">
        <v>278</v>
      </c>
      <c r="C51" s="3">
        <v>2022</v>
      </c>
      <c r="D51" s="3">
        <v>0</v>
      </c>
      <c r="E51" s="3">
        <v>12</v>
      </c>
      <c r="F51" s="3"/>
      <c r="G51" s="3">
        <v>0</v>
      </c>
      <c r="H51" s="3">
        <v>2</v>
      </c>
      <c r="I51" s="3">
        <v>1</v>
      </c>
      <c r="J51" s="3">
        <v>1</v>
      </c>
      <c r="K51" s="3">
        <v>95</v>
      </c>
      <c r="L51" s="3">
        <v>65</v>
      </c>
      <c r="M51" s="3">
        <v>0</v>
      </c>
      <c r="N51" s="3">
        <v>59267179</v>
      </c>
      <c r="O51" s="3">
        <v>1</v>
      </c>
    </row>
    <row r="52" spans="1:40" x14ac:dyDescent="0.2">
      <c r="A52" s="5">
        <v>1</v>
      </c>
      <c r="B52" s="5" t="s">
        <v>279</v>
      </c>
      <c r="C52" s="5" t="s">
        <v>280</v>
      </c>
      <c r="D52" s="5">
        <v>2022</v>
      </c>
      <c r="E52" s="5">
        <v>12</v>
      </c>
      <c r="F52" s="5">
        <v>1</v>
      </c>
      <c r="G52" s="5">
        <v>1</v>
      </c>
      <c r="H52" s="5">
        <v>0</v>
      </c>
      <c r="I52" s="5">
        <v>2</v>
      </c>
      <c r="J52" s="5">
        <v>1</v>
      </c>
      <c r="K52" s="5">
        <v>1</v>
      </c>
      <c r="L52" s="5">
        <v>1</v>
      </c>
      <c r="M52" s="5">
        <v>1</v>
      </c>
      <c r="N52" s="5">
        <v>1</v>
      </c>
      <c r="O52" s="5">
        <v>1</v>
      </c>
      <c r="P52" s="5">
        <v>1</v>
      </c>
      <c r="Q52" s="5">
        <v>1</v>
      </c>
      <c r="R52" s="5" t="s">
        <v>3</v>
      </c>
      <c r="S52" s="5" t="s">
        <v>3</v>
      </c>
      <c r="T52" s="5" t="s">
        <v>3</v>
      </c>
      <c r="U52" s="5" t="s">
        <v>3</v>
      </c>
      <c r="V52" s="5" t="s">
        <v>3</v>
      </c>
      <c r="W52" s="5" t="s">
        <v>3</v>
      </c>
      <c r="X52" s="5" t="s">
        <v>3</v>
      </c>
      <c r="Y52" s="5" t="s">
        <v>3</v>
      </c>
      <c r="Z52" s="5" t="s">
        <v>3</v>
      </c>
      <c r="AA52" s="5" t="s">
        <v>281</v>
      </c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>
        <v>59267180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K267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15" x14ac:dyDescent="0.2">
      <c r="A1">
        <f>ROW(Source!A28)</f>
        <v>28</v>
      </c>
      <c r="B1">
        <v>59267179</v>
      </c>
      <c r="C1">
        <v>59267403</v>
      </c>
      <c r="D1">
        <v>30515951</v>
      </c>
      <c r="E1">
        <v>30515945</v>
      </c>
      <c r="F1">
        <v>1</v>
      </c>
      <c r="G1">
        <v>30515945</v>
      </c>
      <c r="H1">
        <v>1</v>
      </c>
      <c r="I1" t="s">
        <v>283</v>
      </c>
      <c r="J1" t="s">
        <v>3</v>
      </c>
      <c r="K1" t="s">
        <v>284</v>
      </c>
      <c r="L1">
        <v>1191</v>
      </c>
      <c r="N1">
        <v>1013</v>
      </c>
      <c r="O1" t="s">
        <v>285</v>
      </c>
      <c r="P1" t="s">
        <v>285</v>
      </c>
      <c r="Q1">
        <v>1</v>
      </c>
      <c r="W1">
        <v>0</v>
      </c>
      <c r="X1">
        <v>476480486</v>
      </c>
      <c r="Y1">
        <f>(AT1*0.3)</f>
        <v>24.75</v>
      </c>
      <c r="AA1">
        <v>0</v>
      </c>
      <c r="AB1">
        <v>0</v>
      </c>
      <c r="AC1">
        <v>0</v>
      </c>
      <c r="AD1">
        <v>0</v>
      </c>
      <c r="AE1">
        <v>0</v>
      </c>
      <c r="AF1">
        <v>0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</v>
      </c>
      <c r="AT1">
        <v>82.5</v>
      </c>
      <c r="AU1" t="s">
        <v>24</v>
      </c>
      <c r="AV1">
        <v>1</v>
      </c>
      <c r="AW1">
        <v>2</v>
      </c>
      <c r="AX1">
        <v>59267404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X1">
        <f>ROUND(Y1*Source!I28,9)</f>
        <v>1.7324999999999999</v>
      </c>
      <c r="CY1">
        <f>AD1</f>
        <v>0</v>
      </c>
      <c r="CZ1">
        <f>AH1</f>
        <v>0</v>
      </c>
      <c r="DA1">
        <f>AL1</f>
        <v>1</v>
      </c>
      <c r="DB1">
        <f>ROUND((ROUND(AT1*CZ1,2)*0.3),6)</f>
        <v>0</v>
      </c>
      <c r="DC1">
        <f>ROUND((ROUND(AT1*AG1,2)*0.3),6)</f>
        <v>0</v>
      </c>
      <c r="DD1" t="s">
        <v>3</v>
      </c>
      <c r="DE1" t="s">
        <v>3</v>
      </c>
      <c r="DF1">
        <f t="shared" ref="DF1:DF7" si="0">ROUND(AE1*CX1,2)</f>
        <v>0</v>
      </c>
      <c r="DG1">
        <f>ROUND(AF1*CX1,2)</f>
        <v>0</v>
      </c>
      <c r="DH1">
        <f>ROUND(AG1*CX1,2)</f>
        <v>0</v>
      </c>
      <c r="DI1">
        <f t="shared" ref="DI1:DI32" si="1">ROUND(AH1*CX1,2)</f>
        <v>0</v>
      </c>
      <c r="DJ1">
        <f>DI1</f>
        <v>0</v>
      </c>
      <c r="DK1">
        <v>0</v>
      </c>
    </row>
    <row r="2" spans="1:115" x14ac:dyDescent="0.2">
      <c r="A2">
        <f>ROW(Source!A28)</f>
        <v>28</v>
      </c>
      <c r="B2">
        <v>59267179</v>
      </c>
      <c r="C2">
        <v>59267403</v>
      </c>
      <c r="D2">
        <v>30596074</v>
      </c>
      <c r="E2">
        <v>1</v>
      </c>
      <c r="F2">
        <v>1</v>
      </c>
      <c r="G2">
        <v>30515945</v>
      </c>
      <c r="H2">
        <v>2</v>
      </c>
      <c r="I2" t="s">
        <v>286</v>
      </c>
      <c r="J2" t="s">
        <v>287</v>
      </c>
      <c r="K2" t="s">
        <v>288</v>
      </c>
      <c r="L2">
        <v>1368</v>
      </c>
      <c r="N2">
        <v>1011</v>
      </c>
      <c r="O2" t="s">
        <v>289</v>
      </c>
      <c r="P2" t="s">
        <v>289</v>
      </c>
      <c r="Q2">
        <v>1</v>
      </c>
      <c r="W2">
        <v>0</v>
      </c>
      <c r="X2">
        <v>-2098595084</v>
      </c>
      <c r="Y2">
        <f>(AT2*0.3)</f>
        <v>1.1339999999999999</v>
      </c>
      <c r="AA2">
        <v>0</v>
      </c>
      <c r="AB2">
        <v>903.39</v>
      </c>
      <c r="AC2">
        <v>447.52</v>
      </c>
      <c r="AD2">
        <v>0</v>
      </c>
      <c r="AE2">
        <v>0</v>
      </c>
      <c r="AF2">
        <v>76.81</v>
      </c>
      <c r="AG2">
        <v>14.36</v>
      </c>
      <c r="AH2">
        <v>0</v>
      </c>
      <c r="AI2">
        <v>1</v>
      </c>
      <c r="AJ2">
        <v>10.82</v>
      </c>
      <c r="AK2">
        <v>28.67</v>
      </c>
      <c r="AL2">
        <v>1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3</v>
      </c>
      <c r="AT2">
        <v>3.78</v>
      </c>
      <c r="AU2" t="s">
        <v>24</v>
      </c>
      <c r="AV2">
        <v>0</v>
      </c>
      <c r="AW2">
        <v>2</v>
      </c>
      <c r="AX2">
        <v>59267405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X2">
        <f>ROUND(Y2*Source!I28,9)</f>
        <v>7.9380000000000006E-2</v>
      </c>
      <c r="CY2">
        <f>AB2</f>
        <v>903.39</v>
      </c>
      <c r="CZ2">
        <f>AF2</f>
        <v>76.81</v>
      </c>
      <c r="DA2">
        <f>AJ2</f>
        <v>10.82</v>
      </c>
      <c r="DB2">
        <f>ROUND((ROUND(AT2*CZ2,2)*0.3),6)</f>
        <v>87.102000000000004</v>
      </c>
      <c r="DC2">
        <f>ROUND((ROUND(AT2*AG2,2)*0.3),6)</f>
        <v>16.283999999999999</v>
      </c>
      <c r="DD2" t="s">
        <v>3</v>
      </c>
      <c r="DE2" t="s">
        <v>3</v>
      </c>
      <c r="DF2">
        <f t="shared" si="0"/>
        <v>0</v>
      </c>
      <c r="DG2">
        <f>ROUND(ROUND(AF2*CX2,2)*AJ2,2)</f>
        <v>66</v>
      </c>
      <c r="DH2">
        <f>ROUND(ROUND(AG2*CX2,2)*AK2,2)</f>
        <v>32.68</v>
      </c>
      <c r="DI2">
        <f t="shared" si="1"/>
        <v>0</v>
      </c>
      <c r="DJ2">
        <f>DG2</f>
        <v>66</v>
      </c>
      <c r="DK2">
        <v>0</v>
      </c>
    </row>
    <row r="3" spans="1:115" x14ac:dyDescent="0.2">
      <c r="A3">
        <f>ROW(Source!A28)</f>
        <v>28</v>
      </c>
      <c r="B3">
        <v>59267179</v>
      </c>
      <c r="C3">
        <v>59267403</v>
      </c>
      <c r="D3">
        <v>55357527</v>
      </c>
      <c r="E3">
        <v>1</v>
      </c>
      <c r="F3">
        <v>1</v>
      </c>
      <c r="G3">
        <v>30515945</v>
      </c>
      <c r="H3">
        <v>2</v>
      </c>
      <c r="I3" t="s">
        <v>290</v>
      </c>
      <c r="J3" t="s">
        <v>291</v>
      </c>
      <c r="K3" t="s">
        <v>292</v>
      </c>
      <c r="L3">
        <v>1368</v>
      </c>
      <c r="N3">
        <v>1011</v>
      </c>
      <c r="O3" t="s">
        <v>289</v>
      </c>
      <c r="P3" t="s">
        <v>289</v>
      </c>
      <c r="Q3">
        <v>1</v>
      </c>
      <c r="W3">
        <v>0</v>
      </c>
      <c r="X3">
        <v>1393056809</v>
      </c>
      <c r="Y3">
        <f>(AT3*0.3)</f>
        <v>0.66600000000000004</v>
      </c>
      <c r="AA3">
        <v>0</v>
      </c>
      <c r="AB3">
        <v>1799.31</v>
      </c>
      <c r="AC3">
        <v>470.89</v>
      </c>
      <c r="AD3">
        <v>0</v>
      </c>
      <c r="AE3">
        <v>0</v>
      </c>
      <c r="AF3">
        <v>165.53</v>
      </c>
      <c r="AG3">
        <v>15.11</v>
      </c>
      <c r="AH3">
        <v>0</v>
      </c>
      <c r="AI3">
        <v>1</v>
      </c>
      <c r="AJ3">
        <v>10</v>
      </c>
      <c r="AK3">
        <v>28.67</v>
      </c>
      <c r="AL3">
        <v>1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3</v>
      </c>
      <c r="AT3">
        <v>2.2200000000000002</v>
      </c>
      <c r="AU3" t="s">
        <v>24</v>
      </c>
      <c r="AV3">
        <v>0</v>
      </c>
      <c r="AW3">
        <v>2</v>
      </c>
      <c r="AX3">
        <v>59267406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X3">
        <f>ROUND(Y3*Source!I28,9)</f>
        <v>4.6620000000000002E-2</v>
      </c>
      <c r="CY3">
        <f>AB3</f>
        <v>1799.31</v>
      </c>
      <c r="CZ3">
        <f>AF3</f>
        <v>165.53</v>
      </c>
      <c r="DA3">
        <f>AJ3</f>
        <v>10</v>
      </c>
      <c r="DB3">
        <f>ROUND((ROUND(AT3*CZ3,2)*0.3),6)</f>
        <v>110.244</v>
      </c>
      <c r="DC3">
        <f>ROUND((ROUND(AT3*AG3,2)*0.3),6)</f>
        <v>10.061999999999999</v>
      </c>
      <c r="DD3" t="s">
        <v>3</v>
      </c>
      <c r="DE3" t="s">
        <v>3</v>
      </c>
      <c r="DF3">
        <f t="shared" si="0"/>
        <v>0</v>
      </c>
      <c r="DG3">
        <f>ROUND(ROUND(AF3*CX3,2)*AJ3,2)</f>
        <v>77.2</v>
      </c>
      <c r="DH3">
        <f>ROUND(ROUND(AG3*CX3,2)*AK3,2)</f>
        <v>20.07</v>
      </c>
      <c r="DI3">
        <f t="shared" si="1"/>
        <v>0</v>
      </c>
      <c r="DJ3">
        <f>DG3</f>
        <v>77.2</v>
      </c>
      <c r="DK3">
        <v>0</v>
      </c>
    </row>
    <row r="4" spans="1:115" x14ac:dyDescent="0.2">
      <c r="A4">
        <f>ROW(Source!A28)</f>
        <v>28</v>
      </c>
      <c r="B4">
        <v>59267179</v>
      </c>
      <c r="C4">
        <v>59267403</v>
      </c>
      <c r="D4">
        <v>30542113</v>
      </c>
      <c r="E4">
        <v>30515945</v>
      </c>
      <c r="F4">
        <v>1</v>
      </c>
      <c r="G4">
        <v>30515945</v>
      </c>
      <c r="H4">
        <v>3</v>
      </c>
      <c r="I4" t="s">
        <v>293</v>
      </c>
      <c r="J4" t="s">
        <v>3</v>
      </c>
      <c r="K4" t="s">
        <v>294</v>
      </c>
      <c r="L4">
        <v>1354</v>
      </c>
      <c r="N4">
        <v>1010</v>
      </c>
      <c r="O4" t="s">
        <v>208</v>
      </c>
      <c r="P4" t="s">
        <v>208</v>
      </c>
      <c r="Q4">
        <v>1</v>
      </c>
      <c r="W4">
        <v>0</v>
      </c>
      <c r="X4">
        <v>57302338</v>
      </c>
      <c r="Y4">
        <f>(AT4*0)</f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1</v>
      </c>
      <c r="AJ4">
        <v>1</v>
      </c>
      <c r="AK4">
        <v>1</v>
      </c>
      <c r="AL4">
        <v>1</v>
      </c>
      <c r="AN4">
        <v>0</v>
      </c>
      <c r="AO4">
        <v>0</v>
      </c>
      <c r="AP4">
        <v>1</v>
      </c>
      <c r="AQ4">
        <v>0</v>
      </c>
      <c r="AR4">
        <v>0</v>
      </c>
      <c r="AS4" t="s">
        <v>3</v>
      </c>
      <c r="AT4">
        <v>100</v>
      </c>
      <c r="AU4" t="s">
        <v>23</v>
      </c>
      <c r="AV4">
        <v>0</v>
      </c>
      <c r="AW4">
        <v>2</v>
      </c>
      <c r="AX4">
        <v>59267407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X4">
        <f>ROUND(Y4*Source!I28,9)</f>
        <v>0</v>
      </c>
      <c r="CY4">
        <f>AA4</f>
        <v>0</v>
      </c>
      <c r="CZ4">
        <f>AE4</f>
        <v>0</v>
      </c>
      <c r="DA4">
        <f>AI4</f>
        <v>1</v>
      </c>
      <c r="DB4">
        <f>ROUND((ROUND(AT4*CZ4,2)*0),6)</f>
        <v>0</v>
      </c>
      <c r="DC4">
        <f>ROUND((ROUND(AT4*AG4,2)*0),6)</f>
        <v>0</v>
      </c>
      <c r="DD4" t="s">
        <v>3</v>
      </c>
      <c r="DE4" t="s">
        <v>3</v>
      </c>
      <c r="DF4">
        <f t="shared" si="0"/>
        <v>0</v>
      </c>
      <c r="DG4">
        <f>ROUND(AF4*CX4,2)</f>
        <v>0</v>
      </c>
      <c r="DH4">
        <f>ROUND(AG4*CX4,2)</f>
        <v>0</v>
      </c>
      <c r="DI4">
        <f t="shared" si="1"/>
        <v>0</v>
      </c>
      <c r="DJ4">
        <f>DF4</f>
        <v>0</v>
      </c>
      <c r="DK4">
        <v>0</v>
      </c>
    </row>
    <row r="5" spans="1:115" x14ac:dyDescent="0.2">
      <c r="A5">
        <f>ROW(Source!A29)</f>
        <v>29</v>
      </c>
      <c r="B5">
        <v>59267179</v>
      </c>
      <c r="C5">
        <v>59267416</v>
      </c>
      <c r="D5">
        <v>30515951</v>
      </c>
      <c r="E5">
        <v>30515945</v>
      </c>
      <c r="F5">
        <v>1</v>
      </c>
      <c r="G5">
        <v>30515945</v>
      </c>
      <c r="H5">
        <v>1</v>
      </c>
      <c r="I5" t="s">
        <v>283</v>
      </c>
      <c r="J5" t="s">
        <v>3</v>
      </c>
      <c r="K5" t="s">
        <v>284</v>
      </c>
      <c r="L5">
        <v>1191</v>
      </c>
      <c r="N5">
        <v>1013</v>
      </c>
      <c r="O5" t="s">
        <v>285</v>
      </c>
      <c r="P5" t="s">
        <v>285</v>
      </c>
      <c r="Q5">
        <v>1</v>
      </c>
      <c r="W5">
        <v>0</v>
      </c>
      <c r="X5">
        <v>476480486</v>
      </c>
      <c r="Y5">
        <f>(AT5*0.3)</f>
        <v>12.81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1</v>
      </c>
      <c r="AJ5">
        <v>1</v>
      </c>
      <c r="AK5">
        <v>1</v>
      </c>
      <c r="AL5">
        <v>1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3</v>
      </c>
      <c r="AT5">
        <v>42.7</v>
      </c>
      <c r="AU5" t="s">
        <v>24</v>
      </c>
      <c r="AV5">
        <v>1</v>
      </c>
      <c r="AW5">
        <v>2</v>
      </c>
      <c r="AX5">
        <v>59267417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X5">
        <f>ROUND(Y5*Source!I29,9)</f>
        <v>0.83265</v>
      </c>
      <c r="CY5">
        <f>AD5</f>
        <v>0</v>
      </c>
      <c r="CZ5">
        <f>AH5</f>
        <v>0</v>
      </c>
      <c r="DA5">
        <f>AL5</f>
        <v>1</v>
      </c>
      <c r="DB5">
        <f>ROUND((ROUND(AT5*CZ5,2)*0.3),6)</f>
        <v>0</v>
      </c>
      <c r="DC5">
        <f>ROUND((ROUND(AT5*AG5,2)*0.3),6)</f>
        <v>0</v>
      </c>
      <c r="DD5" t="s">
        <v>3</v>
      </c>
      <c r="DE5" t="s">
        <v>3</v>
      </c>
      <c r="DF5">
        <f t="shared" si="0"/>
        <v>0</v>
      </c>
      <c r="DG5">
        <f>ROUND(AF5*CX5,2)</f>
        <v>0</v>
      </c>
      <c r="DH5">
        <f>ROUND(AG5*CX5,2)</f>
        <v>0</v>
      </c>
      <c r="DI5">
        <f t="shared" si="1"/>
        <v>0</v>
      </c>
      <c r="DJ5">
        <f>DI5</f>
        <v>0</v>
      </c>
      <c r="DK5">
        <v>0</v>
      </c>
    </row>
    <row r="6" spans="1:115" x14ac:dyDescent="0.2">
      <c r="A6">
        <f>ROW(Source!A29)</f>
        <v>29</v>
      </c>
      <c r="B6">
        <v>59267179</v>
      </c>
      <c r="C6">
        <v>59267416</v>
      </c>
      <c r="D6">
        <v>30595787</v>
      </c>
      <c r="E6">
        <v>1</v>
      </c>
      <c r="F6">
        <v>1</v>
      </c>
      <c r="G6">
        <v>30515945</v>
      </c>
      <c r="H6">
        <v>2</v>
      </c>
      <c r="I6" t="s">
        <v>295</v>
      </c>
      <c r="J6" t="s">
        <v>296</v>
      </c>
      <c r="K6" t="s">
        <v>297</v>
      </c>
      <c r="L6">
        <v>1368</v>
      </c>
      <c r="N6">
        <v>1011</v>
      </c>
      <c r="O6" t="s">
        <v>289</v>
      </c>
      <c r="P6" t="s">
        <v>289</v>
      </c>
      <c r="Q6">
        <v>1</v>
      </c>
      <c r="W6">
        <v>0</v>
      </c>
      <c r="X6">
        <v>358166613</v>
      </c>
      <c r="Y6">
        <f>(AT6*0.3)</f>
        <v>5.4959999999999996</v>
      </c>
      <c r="AA6">
        <v>0</v>
      </c>
      <c r="AB6">
        <v>55.16</v>
      </c>
      <c r="AC6">
        <v>0</v>
      </c>
      <c r="AD6">
        <v>0</v>
      </c>
      <c r="AE6">
        <v>0</v>
      </c>
      <c r="AF6">
        <v>4.8600000000000003</v>
      </c>
      <c r="AG6">
        <v>0</v>
      </c>
      <c r="AH6">
        <v>0</v>
      </c>
      <c r="AI6">
        <v>1</v>
      </c>
      <c r="AJ6">
        <v>10.84</v>
      </c>
      <c r="AK6">
        <v>28.67</v>
      </c>
      <c r="AL6">
        <v>1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3</v>
      </c>
      <c r="AT6">
        <v>18.32</v>
      </c>
      <c r="AU6" t="s">
        <v>24</v>
      </c>
      <c r="AV6">
        <v>0</v>
      </c>
      <c r="AW6">
        <v>2</v>
      </c>
      <c r="AX6">
        <v>59267418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X6">
        <f>ROUND(Y6*Source!I29,9)</f>
        <v>0.35724</v>
      </c>
      <c r="CY6">
        <f>AB6</f>
        <v>55.16</v>
      </c>
      <c r="CZ6">
        <f>AF6</f>
        <v>4.8600000000000003</v>
      </c>
      <c r="DA6">
        <f>AJ6</f>
        <v>10.84</v>
      </c>
      <c r="DB6">
        <f>ROUND((ROUND(AT6*CZ6,2)*0.3),6)</f>
        <v>26.712</v>
      </c>
      <c r="DC6">
        <f>ROUND((ROUND(AT6*AG6,2)*0.3),6)</f>
        <v>0</v>
      </c>
      <c r="DD6" t="s">
        <v>3</v>
      </c>
      <c r="DE6" t="s">
        <v>3</v>
      </c>
      <c r="DF6">
        <f t="shared" si="0"/>
        <v>0</v>
      </c>
      <c r="DG6">
        <f>ROUND(ROUND(AF6*CX6,2)*AJ6,2)</f>
        <v>18.86</v>
      </c>
      <c r="DH6">
        <f>ROUND(ROUND(AG6*CX6,2)*AK6,2)</f>
        <v>0</v>
      </c>
      <c r="DI6">
        <f t="shared" si="1"/>
        <v>0</v>
      </c>
      <c r="DJ6">
        <f>DG6</f>
        <v>18.86</v>
      </c>
      <c r="DK6">
        <v>0</v>
      </c>
    </row>
    <row r="7" spans="1:115" x14ac:dyDescent="0.2">
      <c r="A7">
        <f>ROW(Source!A29)</f>
        <v>29</v>
      </c>
      <c r="B7">
        <v>59267179</v>
      </c>
      <c r="C7">
        <v>59267416</v>
      </c>
      <c r="D7">
        <v>30596074</v>
      </c>
      <c r="E7">
        <v>1</v>
      </c>
      <c r="F7">
        <v>1</v>
      </c>
      <c r="G7">
        <v>30515945</v>
      </c>
      <c r="H7">
        <v>2</v>
      </c>
      <c r="I7" t="s">
        <v>286</v>
      </c>
      <c r="J7" t="s">
        <v>287</v>
      </c>
      <c r="K7" t="s">
        <v>288</v>
      </c>
      <c r="L7">
        <v>1368</v>
      </c>
      <c r="N7">
        <v>1011</v>
      </c>
      <c r="O7" t="s">
        <v>289</v>
      </c>
      <c r="P7" t="s">
        <v>289</v>
      </c>
      <c r="Q7">
        <v>1</v>
      </c>
      <c r="W7">
        <v>0</v>
      </c>
      <c r="X7">
        <v>-2098595084</v>
      </c>
      <c r="Y7">
        <f>(AT7*0.3)</f>
        <v>0.28199999999999997</v>
      </c>
      <c r="AA7">
        <v>0</v>
      </c>
      <c r="AB7">
        <v>870.15</v>
      </c>
      <c r="AC7">
        <v>431.05</v>
      </c>
      <c r="AD7">
        <v>0</v>
      </c>
      <c r="AE7">
        <v>0</v>
      </c>
      <c r="AF7">
        <v>76.81</v>
      </c>
      <c r="AG7">
        <v>14.36</v>
      </c>
      <c r="AH7">
        <v>0</v>
      </c>
      <c r="AI7">
        <v>1</v>
      </c>
      <c r="AJ7">
        <v>10.82</v>
      </c>
      <c r="AK7">
        <v>28.67</v>
      </c>
      <c r="AL7">
        <v>1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3</v>
      </c>
      <c r="AT7">
        <v>0.94</v>
      </c>
      <c r="AU7" t="s">
        <v>24</v>
      </c>
      <c r="AV7">
        <v>0</v>
      </c>
      <c r="AW7">
        <v>2</v>
      </c>
      <c r="AX7">
        <v>59267419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X7">
        <f>ROUND(Y7*Source!I29,9)</f>
        <v>1.8329999999999999E-2</v>
      </c>
      <c r="CY7">
        <f>AB7</f>
        <v>870.15</v>
      </c>
      <c r="CZ7">
        <f>AF7</f>
        <v>76.81</v>
      </c>
      <c r="DA7">
        <f>AJ7</f>
        <v>10.82</v>
      </c>
      <c r="DB7">
        <f>ROUND((ROUND(AT7*CZ7,2)*0.3),6)</f>
        <v>21.66</v>
      </c>
      <c r="DC7">
        <f>ROUND((ROUND(AT7*AG7,2)*0.3),6)</f>
        <v>4.05</v>
      </c>
      <c r="DD7" t="s">
        <v>3</v>
      </c>
      <c r="DE7" t="s">
        <v>3</v>
      </c>
      <c r="DF7">
        <f t="shared" si="0"/>
        <v>0</v>
      </c>
      <c r="DG7">
        <f>ROUND(ROUND(AF7*CX7,2)*AJ7,2)</f>
        <v>15.26</v>
      </c>
      <c r="DH7">
        <f>ROUND(ROUND(AG7*CX7,2)*AK7,2)</f>
        <v>7.45</v>
      </c>
      <c r="DI7">
        <f t="shared" si="1"/>
        <v>0</v>
      </c>
      <c r="DJ7">
        <f>DG7</f>
        <v>15.26</v>
      </c>
      <c r="DK7">
        <v>0</v>
      </c>
    </row>
    <row r="8" spans="1:115" x14ac:dyDescent="0.2">
      <c r="A8">
        <f>ROW(Source!A29)</f>
        <v>29</v>
      </c>
      <c r="B8">
        <v>59267179</v>
      </c>
      <c r="C8">
        <v>59267416</v>
      </c>
      <c r="D8">
        <v>30572493</v>
      </c>
      <c r="E8">
        <v>1</v>
      </c>
      <c r="F8">
        <v>1</v>
      </c>
      <c r="G8">
        <v>30515945</v>
      </c>
      <c r="H8">
        <v>3</v>
      </c>
      <c r="I8" t="s">
        <v>298</v>
      </c>
      <c r="J8" t="s">
        <v>299</v>
      </c>
      <c r="K8" t="s">
        <v>300</v>
      </c>
      <c r="L8">
        <v>1348</v>
      </c>
      <c r="N8">
        <v>1009</v>
      </c>
      <c r="O8" t="s">
        <v>64</v>
      </c>
      <c r="P8" t="s">
        <v>64</v>
      </c>
      <c r="Q8">
        <v>1000</v>
      </c>
      <c r="W8">
        <v>0</v>
      </c>
      <c r="X8">
        <v>1310716689</v>
      </c>
      <c r="Y8">
        <f>(AT8*0)</f>
        <v>0</v>
      </c>
      <c r="AA8">
        <v>120103.23</v>
      </c>
      <c r="AB8">
        <v>0</v>
      </c>
      <c r="AC8">
        <v>0</v>
      </c>
      <c r="AD8">
        <v>0</v>
      </c>
      <c r="AE8">
        <v>7191.81</v>
      </c>
      <c r="AF8">
        <v>0</v>
      </c>
      <c r="AG8">
        <v>0</v>
      </c>
      <c r="AH8">
        <v>0</v>
      </c>
      <c r="AI8">
        <v>16.7</v>
      </c>
      <c r="AJ8">
        <v>1</v>
      </c>
      <c r="AK8">
        <v>1</v>
      </c>
      <c r="AL8">
        <v>1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3</v>
      </c>
      <c r="AT8">
        <v>0.04</v>
      </c>
      <c r="AU8" t="s">
        <v>23</v>
      </c>
      <c r="AV8">
        <v>0</v>
      </c>
      <c r="AW8">
        <v>2</v>
      </c>
      <c r="AX8">
        <v>59267420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X8">
        <f>ROUND(Y8*Source!I29,9)</f>
        <v>0</v>
      </c>
      <c r="CY8">
        <f>AA8</f>
        <v>120103.23</v>
      </c>
      <c r="CZ8">
        <f>AE8</f>
        <v>7191.81</v>
      </c>
      <c r="DA8">
        <f>AI8</f>
        <v>16.7</v>
      </c>
      <c r="DB8">
        <f>ROUND((ROUND(AT8*CZ8,2)*0),6)</f>
        <v>0</v>
      </c>
      <c r="DC8">
        <f>ROUND((ROUND(AT8*AG8,2)*0),6)</f>
        <v>0</v>
      </c>
      <c r="DD8" t="s">
        <v>3</v>
      </c>
      <c r="DE8" t="s">
        <v>3</v>
      </c>
      <c r="DF8">
        <f>ROUND(ROUND(AE8*CX8,2)*AI8,2)</f>
        <v>0</v>
      </c>
      <c r="DG8">
        <f t="shared" ref="DG8:DG14" si="2">ROUND(AF8*CX8,2)</f>
        <v>0</v>
      </c>
      <c r="DH8">
        <f t="shared" ref="DH8:DH14" si="3">ROUND(AG8*CX8,2)</f>
        <v>0</v>
      </c>
      <c r="DI8">
        <f t="shared" si="1"/>
        <v>0</v>
      </c>
      <c r="DJ8">
        <f>DF8</f>
        <v>0</v>
      </c>
      <c r="DK8">
        <v>0</v>
      </c>
    </row>
    <row r="9" spans="1:115" x14ac:dyDescent="0.2">
      <c r="A9">
        <f>ROW(Source!A29)</f>
        <v>29</v>
      </c>
      <c r="B9">
        <v>59267179</v>
      </c>
      <c r="C9">
        <v>59267416</v>
      </c>
      <c r="D9">
        <v>30542328</v>
      </c>
      <c r="E9">
        <v>30515945</v>
      </c>
      <c r="F9">
        <v>1</v>
      </c>
      <c r="G9">
        <v>30515945</v>
      </c>
      <c r="H9">
        <v>3</v>
      </c>
      <c r="I9" t="s">
        <v>301</v>
      </c>
      <c r="J9" t="s">
        <v>3</v>
      </c>
      <c r="K9" t="s">
        <v>302</v>
      </c>
      <c r="L9">
        <v>1348</v>
      </c>
      <c r="N9">
        <v>1009</v>
      </c>
      <c r="O9" t="s">
        <v>64</v>
      </c>
      <c r="P9" t="s">
        <v>64</v>
      </c>
      <c r="Q9">
        <v>1000</v>
      </c>
      <c r="W9">
        <v>0</v>
      </c>
      <c r="X9">
        <v>-1387798565</v>
      </c>
      <c r="Y9">
        <f>(AT9*0)</f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1</v>
      </c>
      <c r="AJ9">
        <v>1</v>
      </c>
      <c r="AK9">
        <v>1</v>
      </c>
      <c r="AL9">
        <v>1</v>
      </c>
      <c r="AN9">
        <v>0</v>
      </c>
      <c r="AO9">
        <v>0</v>
      </c>
      <c r="AP9">
        <v>1</v>
      </c>
      <c r="AQ9">
        <v>0</v>
      </c>
      <c r="AR9">
        <v>0</v>
      </c>
      <c r="AS9" t="s">
        <v>3</v>
      </c>
      <c r="AT9">
        <v>1</v>
      </c>
      <c r="AU9" t="s">
        <v>23</v>
      </c>
      <c r="AV9">
        <v>0</v>
      </c>
      <c r="AW9">
        <v>2</v>
      </c>
      <c r="AX9">
        <v>59267421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X9">
        <f>ROUND(Y9*Source!I29,9)</f>
        <v>0</v>
      </c>
      <c r="CY9">
        <f>AA9</f>
        <v>0</v>
      </c>
      <c r="CZ9">
        <f>AE9</f>
        <v>0</v>
      </c>
      <c r="DA9">
        <f>AI9</f>
        <v>1</v>
      </c>
      <c r="DB9">
        <f>ROUND((ROUND(AT9*CZ9,2)*0),6)</f>
        <v>0</v>
      </c>
      <c r="DC9">
        <f>ROUND((ROUND(AT9*AG9,2)*0),6)</f>
        <v>0</v>
      </c>
      <c r="DD9" t="s">
        <v>3</v>
      </c>
      <c r="DE9" t="s">
        <v>3</v>
      </c>
      <c r="DF9">
        <f t="shared" ref="DF9:DF18" si="4">ROUND(AE9*CX9,2)</f>
        <v>0</v>
      </c>
      <c r="DG9">
        <f t="shared" si="2"/>
        <v>0</v>
      </c>
      <c r="DH9">
        <f t="shared" si="3"/>
        <v>0</v>
      </c>
      <c r="DI9">
        <f t="shared" si="1"/>
        <v>0</v>
      </c>
      <c r="DJ9">
        <f>DF9</f>
        <v>0</v>
      </c>
      <c r="DK9">
        <v>0</v>
      </c>
    </row>
    <row r="10" spans="1:115" x14ac:dyDescent="0.2">
      <c r="A10">
        <f>ROW(Source!A30)</f>
        <v>30</v>
      </c>
      <c r="B10">
        <v>59267179</v>
      </c>
      <c r="C10">
        <v>59267472</v>
      </c>
      <c r="D10">
        <v>30515951</v>
      </c>
      <c r="E10">
        <v>30515945</v>
      </c>
      <c r="F10">
        <v>1</v>
      </c>
      <c r="G10">
        <v>30515945</v>
      </c>
      <c r="H10">
        <v>1</v>
      </c>
      <c r="I10" t="s">
        <v>283</v>
      </c>
      <c r="J10" t="s">
        <v>3</v>
      </c>
      <c r="K10" t="s">
        <v>284</v>
      </c>
      <c r="L10">
        <v>1191</v>
      </c>
      <c r="N10">
        <v>1013</v>
      </c>
      <c r="O10" t="s">
        <v>285</v>
      </c>
      <c r="P10" t="s">
        <v>285</v>
      </c>
      <c r="Q10">
        <v>1</v>
      </c>
      <c r="W10">
        <v>0</v>
      </c>
      <c r="X10">
        <v>476480486</v>
      </c>
      <c r="Y10">
        <f>(AT10*0.3)</f>
        <v>8.34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1</v>
      </c>
      <c r="AJ10">
        <v>1</v>
      </c>
      <c r="AK10">
        <v>1</v>
      </c>
      <c r="AL10">
        <v>1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3</v>
      </c>
      <c r="AT10">
        <v>27.8</v>
      </c>
      <c r="AU10" t="s">
        <v>24</v>
      </c>
      <c r="AV10">
        <v>1</v>
      </c>
      <c r="AW10">
        <v>2</v>
      </c>
      <c r="AX10">
        <v>59267473</v>
      </c>
      <c r="AY10">
        <v>1</v>
      </c>
      <c r="AZ10">
        <v>0</v>
      </c>
      <c r="BA10">
        <v>10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X10">
        <f>ROUND(Y10*Source!I30,9)</f>
        <v>8.34</v>
      </c>
      <c r="CY10">
        <f>AD10</f>
        <v>0</v>
      </c>
      <c r="CZ10">
        <f>AH10</f>
        <v>0</v>
      </c>
      <c r="DA10">
        <f>AL10</f>
        <v>1</v>
      </c>
      <c r="DB10">
        <f>ROUND((ROUND(AT10*CZ10,2)*0.3),6)</f>
        <v>0</v>
      </c>
      <c r="DC10">
        <f>ROUND((ROUND(AT10*AG10,2)*0.3),6)</f>
        <v>0</v>
      </c>
      <c r="DD10" t="s">
        <v>3</v>
      </c>
      <c r="DE10" t="s">
        <v>3</v>
      </c>
      <c r="DF10">
        <f t="shared" si="4"/>
        <v>0</v>
      </c>
      <c r="DG10">
        <f t="shared" si="2"/>
        <v>0</v>
      </c>
      <c r="DH10">
        <f t="shared" si="3"/>
        <v>0</v>
      </c>
      <c r="DI10">
        <f t="shared" si="1"/>
        <v>0</v>
      </c>
      <c r="DJ10">
        <f>DI10</f>
        <v>0</v>
      </c>
      <c r="DK10">
        <v>0</v>
      </c>
    </row>
    <row r="11" spans="1:115" x14ac:dyDescent="0.2">
      <c r="A11">
        <f>ROW(Source!A31)</f>
        <v>31</v>
      </c>
      <c r="B11">
        <v>59267179</v>
      </c>
      <c r="C11">
        <v>59267525</v>
      </c>
      <c r="D11">
        <v>30515951</v>
      </c>
      <c r="E11">
        <v>30515945</v>
      </c>
      <c r="F11">
        <v>1</v>
      </c>
      <c r="G11">
        <v>30515945</v>
      </c>
      <c r="H11">
        <v>1</v>
      </c>
      <c r="I11" t="s">
        <v>283</v>
      </c>
      <c r="J11" t="s">
        <v>3</v>
      </c>
      <c r="K11" t="s">
        <v>284</v>
      </c>
      <c r="L11">
        <v>1191</v>
      </c>
      <c r="N11">
        <v>1013</v>
      </c>
      <c r="O11" t="s">
        <v>285</v>
      </c>
      <c r="P11" t="s">
        <v>285</v>
      </c>
      <c r="Q11">
        <v>1</v>
      </c>
      <c r="W11">
        <v>0</v>
      </c>
      <c r="X11">
        <v>476480486</v>
      </c>
      <c r="Y11">
        <f>(AT11*0.3)</f>
        <v>8.2799999999999994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3</v>
      </c>
      <c r="AT11">
        <v>27.6</v>
      </c>
      <c r="AU11" t="s">
        <v>24</v>
      </c>
      <c r="AV11">
        <v>1</v>
      </c>
      <c r="AW11">
        <v>2</v>
      </c>
      <c r="AX11">
        <v>59267526</v>
      </c>
      <c r="AY11">
        <v>1</v>
      </c>
      <c r="AZ11">
        <v>0</v>
      </c>
      <c r="BA11">
        <v>11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X11">
        <f>ROUND(Y11*Source!I31,9)</f>
        <v>8.2799999999999994</v>
      </c>
      <c r="CY11">
        <f>AD11</f>
        <v>0</v>
      </c>
      <c r="CZ11">
        <f>AH11</f>
        <v>0</v>
      </c>
      <c r="DA11">
        <f>AL11</f>
        <v>1</v>
      </c>
      <c r="DB11">
        <f>ROUND((ROUND(AT11*CZ11,2)*0.3),6)</f>
        <v>0</v>
      </c>
      <c r="DC11">
        <f>ROUND((ROUND(AT11*AG11,2)*0.3),6)</f>
        <v>0</v>
      </c>
      <c r="DD11" t="s">
        <v>3</v>
      </c>
      <c r="DE11" t="s">
        <v>3</v>
      </c>
      <c r="DF11">
        <f t="shared" si="4"/>
        <v>0</v>
      </c>
      <c r="DG11">
        <f t="shared" si="2"/>
        <v>0</v>
      </c>
      <c r="DH11">
        <f t="shared" si="3"/>
        <v>0</v>
      </c>
      <c r="DI11">
        <f t="shared" si="1"/>
        <v>0</v>
      </c>
      <c r="DJ11">
        <f>DI11</f>
        <v>0</v>
      </c>
      <c r="DK11">
        <v>0</v>
      </c>
    </row>
    <row r="12" spans="1:115" x14ac:dyDescent="0.2">
      <c r="A12">
        <f>ROW(Source!A32)</f>
        <v>32</v>
      </c>
      <c r="B12">
        <v>59267179</v>
      </c>
      <c r="C12">
        <v>59268156</v>
      </c>
      <c r="D12">
        <v>30515951</v>
      </c>
      <c r="E12">
        <v>30515945</v>
      </c>
      <c r="F12">
        <v>1</v>
      </c>
      <c r="G12">
        <v>30515945</v>
      </c>
      <c r="H12">
        <v>1</v>
      </c>
      <c r="I12" t="s">
        <v>283</v>
      </c>
      <c r="J12" t="s">
        <v>3</v>
      </c>
      <c r="K12" t="s">
        <v>284</v>
      </c>
      <c r="L12">
        <v>1191</v>
      </c>
      <c r="N12">
        <v>1013</v>
      </c>
      <c r="O12" t="s">
        <v>285</v>
      </c>
      <c r="P12" t="s">
        <v>285</v>
      </c>
      <c r="Q12">
        <v>1</v>
      </c>
      <c r="W12">
        <v>0</v>
      </c>
      <c r="X12">
        <v>476480486</v>
      </c>
      <c r="Y12">
        <f t="shared" ref="Y12:Y43" si="5">AT12</f>
        <v>1.02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1</v>
      </c>
      <c r="AJ12">
        <v>1</v>
      </c>
      <c r="AK12">
        <v>1</v>
      </c>
      <c r="AL12">
        <v>1</v>
      </c>
      <c r="AN12">
        <v>0</v>
      </c>
      <c r="AO12">
        <v>1</v>
      </c>
      <c r="AP12">
        <v>0</v>
      </c>
      <c r="AQ12">
        <v>0</v>
      </c>
      <c r="AR12">
        <v>0</v>
      </c>
      <c r="AS12" t="s">
        <v>3</v>
      </c>
      <c r="AT12">
        <v>1.02</v>
      </c>
      <c r="AU12" t="s">
        <v>3</v>
      </c>
      <c r="AV12">
        <v>1</v>
      </c>
      <c r="AW12">
        <v>2</v>
      </c>
      <c r="AX12">
        <v>59268157</v>
      </c>
      <c r="AY12">
        <v>1</v>
      </c>
      <c r="AZ12">
        <v>0</v>
      </c>
      <c r="BA12">
        <v>12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X12">
        <f>ROUND(Y12*Source!I32,9)</f>
        <v>8.0885999999999996</v>
      </c>
      <c r="CY12">
        <f>AD12</f>
        <v>0</v>
      </c>
      <c r="CZ12">
        <f>AH12</f>
        <v>0</v>
      </c>
      <c r="DA12">
        <f>AL12</f>
        <v>1</v>
      </c>
      <c r="DB12">
        <f t="shared" ref="DB12:DB43" si="6">ROUND(ROUND(AT12*CZ12,2),6)</f>
        <v>0</v>
      </c>
      <c r="DC12">
        <f t="shared" ref="DC12:DC43" si="7">ROUND(ROUND(AT12*AG12,2),6)</f>
        <v>0</v>
      </c>
      <c r="DD12" t="s">
        <v>3</v>
      </c>
      <c r="DE12" t="s">
        <v>3</v>
      </c>
      <c r="DF12">
        <f t="shared" si="4"/>
        <v>0</v>
      </c>
      <c r="DG12">
        <f t="shared" si="2"/>
        <v>0</v>
      </c>
      <c r="DH12">
        <f t="shared" si="3"/>
        <v>0</v>
      </c>
      <c r="DI12">
        <f t="shared" si="1"/>
        <v>0</v>
      </c>
      <c r="DJ12">
        <f>DI12</f>
        <v>0</v>
      </c>
      <c r="DK12">
        <v>0</v>
      </c>
    </row>
    <row r="13" spans="1:115" x14ac:dyDescent="0.2">
      <c r="A13">
        <f>ROW(Source!A33)</f>
        <v>33</v>
      </c>
      <c r="B13">
        <v>59267179</v>
      </c>
      <c r="C13">
        <v>59271561</v>
      </c>
      <c r="D13">
        <v>30516999</v>
      </c>
      <c r="E13">
        <v>30515945</v>
      </c>
      <c r="F13">
        <v>1</v>
      </c>
      <c r="G13">
        <v>30515945</v>
      </c>
      <c r="H13">
        <v>2</v>
      </c>
      <c r="I13" t="s">
        <v>303</v>
      </c>
      <c r="J13" t="s">
        <v>3</v>
      </c>
      <c r="K13" t="s">
        <v>304</v>
      </c>
      <c r="L13">
        <v>1344</v>
      </c>
      <c r="N13">
        <v>1008</v>
      </c>
      <c r="O13" t="s">
        <v>305</v>
      </c>
      <c r="P13" t="s">
        <v>305</v>
      </c>
      <c r="Q13">
        <v>1</v>
      </c>
      <c r="W13">
        <v>0</v>
      </c>
      <c r="X13">
        <v>-1180195794</v>
      </c>
      <c r="Y13">
        <f t="shared" si="5"/>
        <v>20.54</v>
      </c>
      <c r="AA13">
        <v>0</v>
      </c>
      <c r="AB13">
        <v>1</v>
      </c>
      <c r="AC13">
        <v>0</v>
      </c>
      <c r="AD13">
        <v>0</v>
      </c>
      <c r="AE13">
        <v>0</v>
      </c>
      <c r="AF13">
        <v>1</v>
      </c>
      <c r="AG13">
        <v>0</v>
      </c>
      <c r="AH13">
        <v>0</v>
      </c>
      <c r="AI13">
        <v>1</v>
      </c>
      <c r="AJ13">
        <v>1</v>
      </c>
      <c r="AK13">
        <v>1</v>
      </c>
      <c r="AL13">
        <v>1</v>
      </c>
      <c r="AN13">
        <v>0</v>
      </c>
      <c r="AO13">
        <v>1</v>
      </c>
      <c r="AP13">
        <v>0</v>
      </c>
      <c r="AQ13">
        <v>0</v>
      </c>
      <c r="AR13">
        <v>0</v>
      </c>
      <c r="AS13" t="s">
        <v>3</v>
      </c>
      <c r="AT13">
        <v>20.54</v>
      </c>
      <c r="AU13" t="s">
        <v>3</v>
      </c>
      <c r="AV13">
        <v>0</v>
      </c>
      <c r="AW13">
        <v>2</v>
      </c>
      <c r="AX13">
        <v>59271562</v>
      </c>
      <c r="AY13">
        <v>1</v>
      </c>
      <c r="AZ13">
        <v>0</v>
      </c>
      <c r="BA13">
        <v>13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X13">
        <f>ROUND(Y13*Source!I33,9)</f>
        <v>162.88220000000001</v>
      </c>
      <c r="CY13">
        <f>AB13</f>
        <v>1</v>
      </c>
      <c r="CZ13">
        <f>AF13</f>
        <v>1</v>
      </c>
      <c r="DA13">
        <f>AJ13</f>
        <v>1</v>
      </c>
      <c r="DB13">
        <f t="shared" si="6"/>
        <v>20.54</v>
      </c>
      <c r="DC13">
        <f t="shared" si="7"/>
        <v>0</v>
      </c>
      <c r="DD13" t="s">
        <v>3</v>
      </c>
      <c r="DE13" t="s">
        <v>3</v>
      </c>
      <c r="DF13">
        <f t="shared" si="4"/>
        <v>0</v>
      </c>
      <c r="DG13">
        <f t="shared" si="2"/>
        <v>162.88</v>
      </c>
      <c r="DH13">
        <f t="shared" si="3"/>
        <v>0</v>
      </c>
      <c r="DI13">
        <f t="shared" si="1"/>
        <v>0</v>
      </c>
      <c r="DJ13">
        <f>DG13</f>
        <v>162.88</v>
      </c>
      <c r="DK13">
        <v>0</v>
      </c>
    </row>
    <row r="14" spans="1:115" x14ac:dyDescent="0.2">
      <c r="A14">
        <f>ROW(Source!A70)</f>
        <v>70</v>
      </c>
      <c r="B14">
        <v>59267179</v>
      </c>
      <c r="C14">
        <v>59267781</v>
      </c>
      <c r="D14">
        <v>30515951</v>
      </c>
      <c r="E14">
        <v>30515945</v>
      </c>
      <c r="F14">
        <v>1</v>
      </c>
      <c r="G14">
        <v>30515945</v>
      </c>
      <c r="H14">
        <v>1</v>
      </c>
      <c r="I14" t="s">
        <v>283</v>
      </c>
      <c r="J14" t="s">
        <v>3</v>
      </c>
      <c r="K14" t="s">
        <v>284</v>
      </c>
      <c r="L14">
        <v>1191</v>
      </c>
      <c r="N14">
        <v>1013</v>
      </c>
      <c r="O14" t="s">
        <v>285</v>
      </c>
      <c r="P14" t="s">
        <v>285</v>
      </c>
      <c r="Q14">
        <v>1</v>
      </c>
      <c r="W14">
        <v>0</v>
      </c>
      <c r="X14">
        <v>476480486</v>
      </c>
      <c r="Y14">
        <f t="shared" si="5"/>
        <v>0.78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1</v>
      </c>
      <c r="AJ14">
        <v>1</v>
      </c>
      <c r="AK14">
        <v>1</v>
      </c>
      <c r="AL14">
        <v>1</v>
      </c>
      <c r="AN14">
        <v>0</v>
      </c>
      <c r="AO14">
        <v>1</v>
      </c>
      <c r="AP14">
        <v>0</v>
      </c>
      <c r="AQ14">
        <v>0</v>
      </c>
      <c r="AR14">
        <v>0</v>
      </c>
      <c r="AS14" t="s">
        <v>3</v>
      </c>
      <c r="AT14">
        <v>0.78</v>
      </c>
      <c r="AU14" t="s">
        <v>3</v>
      </c>
      <c r="AV14">
        <v>1</v>
      </c>
      <c r="AW14">
        <v>2</v>
      </c>
      <c r="AX14">
        <v>59267782</v>
      </c>
      <c r="AY14">
        <v>1</v>
      </c>
      <c r="AZ14">
        <v>0</v>
      </c>
      <c r="BA14">
        <v>14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X14">
        <f>ROUND(Y14*Source!I70,9)</f>
        <v>1.3260000000000001</v>
      </c>
      <c r="CY14">
        <f>AD14</f>
        <v>0</v>
      </c>
      <c r="CZ14">
        <f>AH14</f>
        <v>0</v>
      </c>
      <c r="DA14">
        <f>AL14</f>
        <v>1</v>
      </c>
      <c r="DB14">
        <f t="shared" si="6"/>
        <v>0</v>
      </c>
      <c r="DC14">
        <f t="shared" si="7"/>
        <v>0</v>
      </c>
      <c r="DD14" t="s">
        <v>3</v>
      </c>
      <c r="DE14" t="s">
        <v>3</v>
      </c>
      <c r="DF14">
        <f t="shared" si="4"/>
        <v>0</v>
      </c>
      <c r="DG14">
        <f t="shared" si="2"/>
        <v>0</v>
      </c>
      <c r="DH14">
        <f t="shared" si="3"/>
        <v>0</v>
      </c>
      <c r="DI14">
        <f t="shared" si="1"/>
        <v>0</v>
      </c>
      <c r="DJ14">
        <f>DI14</f>
        <v>0</v>
      </c>
      <c r="DK14">
        <v>0</v>
      </c>
    </row>
    <row r="15" spans="1:115" x14ac:dyDescent="0.2">
      <c r="A15">
        <f>ROW(Source!A70)</f>
        <v>70</v>
      </c>
      <c r="B15">
        <v>59267179</v>
      </c>
      <c r="C15">
        <v>59267781</v>
      </c>
      <c r="D15">
        <v>30595692</v>
      </c>
      <c r="E15">
        <v>1</v>
      </c>
      <c r="F15">
        <v>1</v>
      </c>
      <c r="G15">
        <v>30515945</v>
      </c>
      <c r="H15">
        <v>2</v>
      </c>
      <c r="I15" t="s">
        <v>306</v>
      </c>
      <c r="J15" t="s">
        <v>307</v>
      </c>
      <c r="K15" t="s">
        <v>308</v>
      </c>
      <c r="L15">
        <v>1368</v>
      </c>
      <c r="N15">
        <v>1011</v>
      </c>
      <c r="O15" t="s">
        <v>289</v>
      </c>
      <c r="P15" t="s">
        <v>289</v>
      </c>
      <c r="Q15">
        <v>1</v>
      </c>
      <c r="W15">
        <v>0</v>
      </c>
      <c r="X15">
        <v>-1037327012</v>
      </c>
      <c r="Y15">
        <f t="shared" si="5"/>
        <v>0.18</v>
      </c>
      <c r="AA15">
        <v>0</v>
      </c>
      <c r="AB15">
        <v>568.11</v>
      </c>
      <c r="AC15">
        <v>380.32</v>
      </c>
      <c r="AD15">
        <v>0</v>
      </c>
      <c r="AE15">
        <v>0</v>
      </c>
      <c r="AF15">
        <v>33.35</v>
      </c>
      <c r="AG15">
        <v>12.67</v>
      </c>
      <c r="AH15">
        <v>0</v>
      </c>
      <c r="AI15">
        <v>1</v>
      </c>
      <c r="AJ15">
        <v>16.27</v>
      </c>
      <c r="AK15">
        <v>28.67</v>
      </c>
      <c r="AL15">
        <v>1</v>
      </c>
      <c r="AN15">
        <v>0</v>
      </c>
      <c r="AO15">
        <v>1</v>
      </c>
      <c r="AP15">
        <v>0</v>
      </c>
      <c r="AQ15">
        <v>0</v>
      </c>
      <c r="AR15">
        <v>0</v>
      </c>
      <c r="AS15" t="s">
        <v>3</v>
      </c>
      <c r="AT15">
        <v>0.18</v>
      </c>
      <c r="AU15" t="s">
        <v>3</v>
      </c>
      <c r="AV15">
        <v>0</v>
      </c>
      <c r="AW15">
        <v>2</v>
      </c>
      <c r="AX15">
        <v>59267783</v>
      </c>
      <c r="AY15">
        <v>1</v>
      </c>
      <c r="AZ15">
        <v>0</v>
      </c>
      <c r="BA15">
        <v>15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X15">
        <f>ROUND(Y15*Source!I70,9)</f>
        <v>0.30599999999999999</v>
      </c>
      <c r="CY15">
        <f>AB15</f>
        <v>568.11</v>
      </c>
      <c r="CZ15">
        <f>AF15</f>
        <v>33.35</v>
      </c>
      <c r="DA15">
        <f>AJ15</f>
        <v>16.27</v>
      </c>
      <c r="DB15">
        <f t="shared" si="6"/>
        <v>6</v>
      </c>
      <c r="DC15">
        <f t="shared" si="7"/>
        <v>2.2799999999999998</v>
      </c>
      <c r="DD15" t="s">
        <v>3</v>
      </c>
      <c r="DE15" t="s">
        <v>3</v>
      </c>
      <c r="DF15">
        <f t="shared" si="4"/>
        <v>0</v>
      </c>
      <c r="DG15">
        <f>ROUND(ROUND(AF15*CX15,2)*AJ15,2)</f>
        <v>166.12</v>
      </c>
      <c r="DH15">
        <f>ROUND(ROUND(AG15*CX15,2)*AK15,2)</f>
        <v>111.24</v>
      </c>
      <c r="DI15">
        <f t="shared" si="1"/>
        <v>0</v>
      </c>
      <c r="DJ15">
        <f>DG15</f>
        <v>166.12</v>
      </c>
      <c r="DK15">
        <v>0</v>
      </c>
    </row>
    <row r="16" spans="1:115" x14ac:dyDescent="0.2">
      <c r="A16">
        <f>ROW(Source!A70)</f>
        <v>70</v>
      </c>
      <c r="B16">
        <v>59267179</v>
      </c>
      <c r="C16">
        <v>59267781</v>
      </c>
      <c r="D16">
        <v>30596103</v>
      </c>
      <c r="E16">
        <v>1</v>
      </c>
      <c r="F16">
        <v>1</v>
      </c>
      <c r="G16">
        <v>30515945</v>
      </c>
      <c r="H16">
        <v>2</v>
      </c>
      <c r="I16" t="s">
        <v>309</v>
      </c>
      <c r="J16" t="s">
        <v>310</v>
      </c>
      <c r="K16" t="s">
        <v>311</v>
      </c>
      <c r="L16">
        <v>1368</v>
      </c>
      <c r="N16">
        <v>1011</v>
      </c>
      <c r="O16" t="s">
        <v>289</v>
      </c>
      <c r="P16" t="s">
        <v>289</v>
      </c>
      <c r="Q16">
        <v>1</v>
      </c>
      <c r="W16">
        <v>0</v>
      </c>
      <c r="X16">
        <v>-259930799</v>
      </c>
      <c r="Y16">
        <f t="shared" si="5"/>
        <v>0.36</v>
      </c>
      <c r="AA16">
        <v>0</v>
      </c>
      <c r="AB16">
        <v>1.31</v>
      </c>
      <c r="AC16">
        <v>0</v>
      </c>
      <c r="AD16">
        <v>0</v>
      </c>
      <c r="AE16">
        <v>0</v>
      </c>
      <c r="AF16">
        <v>0.21</v>
      </c>
      <c r="AG16">
        <v>0</v>
      </c>
      <c r="AH16">
        <v>0</v>
      </c>
      <c r="AI16">
        <v>1</v>
      </c>
      <c r="AJ16">
        <v>5.95</v>
      </c>
      <c r="AK16">
        <v>28.67</v>
      </c>
      <c r="AL16">
        <v>1</v>
      </c>
      <c r="AN16">
        <v>0</v>
      </c>
      <c r="AO16">
        <v>1</v>
      </c>
      <c r="AP16">
        <v>0</v>
      </c>
      <c r="AQ16">
        <v>0</v>
      </c>
      <c r="AR16">
        <v>0</v>
      </c>
      <c r="AS16" t="s">
        <v>3</v>
      </c>
      <c r="AT16">
        <v>0.36</v>
      </c>
      <c r="AU16" t="s">
        <v>3</v>
      </c>
      <c r="AV16">
        <v>0</v>
      </c>
      <c r="AW16">
        <v>2</v>
      </c>
      <c r="AX16">
        <v>59267784</v>
      </c>
      <c r="AY16">
        <v>1</v>
      </c>
      <c r="AZ16">
        <v>0</v>
      </c>
      <c r="BA16">
        <v>16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X16">
        <f>ROUND(Y16*Source!I70,9)</f>
        <v>0.61199999999999999</v>
      </c>
      <c r="CY16">
        <f>AB16</f>
        <v>1.31</v>
      </c>
      <c r="CZ16">
        <f>AF16</f>
        <v>0.21</v>
      </c>
      <c r="DA16">
        <f>AJ16</f>
        <v>5.95</v>
      </c>
      <c r="DB16">
        <f t="shared" si="6"/>
        <v>0.08</v>
      </c>
      <c r="DC16">
        <f t="shared" si="7"/>
        <v>0</v>
      </c>
      <c r="DD16" t="s">
        <v>3</v>
      </c>
      <c r="DE16" t="s">
        <v>3</v>
      </c>
      <c r="DF16">
        <f t="shared" si="4"/>
        <v>0</v>
      </c>
      <c r="DG16">
        <f>ROUND(ROUND(AF16*CX16,2)*AJ16,2)</f>
        <v>0.77</v>
      </c>
      <c r="DH16">
        <f>ROUND(ROUND(AG16*CX16,2)*AK16,2)</f>
        <v>0</v>
      </c>
      <c r="DI16">
        <f t="shared" si="1"/>
        <v>0</v>
      </c>
      <c r="DJ16">
        <f>DG16</f>
        <v>0.77</v>
      </c>
      <c r="DK16">
        <v>0</v>
      </c>
    </row>
    <row r="17" spans="1:115" x14ac:dyDescent="0.2">
      <c r="A17">
        <f>ROW(Source!A70)</f>
        <v>70</v>
      </c>
      <c r="B17">
        <v>59267179</v>
      </c>
      <c r="C17">
        <v>59267781</v>
      </c>
      <c r="D17">
        <v>30595410</v>
      </c>
      <c r="E17">
        <v>1</v>
      </c>
      <c r="F17">
        <v>1</v>
      </c>
      <c r="G17">
        <v>30515945</v>
      </c>
      <c r="H17">
        <v>2</v>
      </c>
      <c r="I17" t="s">
        <v>312</v>
      </c>
      <c r="J17" t="s">
        <v>313</v>
      </c>
      <c r="K17" t="s">
        <v>314</v>
      </c>
      <c r="L17">
        <v>1368</v>
      </c>
      <c r="N17">
        <v>1011</v>
      </c>
      <c r="O17" t="s">
        <v>289</v>
      </c>
      <c r="P17" t="s">
        <v>289</v>
      </c>
      <c r="Q17">
        <v>1</v>
      </c>
      <c r="W17">
        <v>0</v>
      </c>
      <c r="X17">
        <v>-911411171</v>
      </c>
      <c r="Y17">
        <f t="shared" si="5"/>
        <v>7.0000000000000007E-2</v>
      </c>
      <c r="AA17">
        <v>0</v>
      </c>
      <c r="AB17">
        <v>1468.81</v>
      </c>
      <c r="AC17">
        <v>447.56</v>
      </c>
      <c r="AD17">
        <v>0</v>
      </c>
      <c r="AE17">
        <v>0</v>
      </c>
      <c r="AF17">
        <v>130.5</v>
      </c>
      <c r="AG17">
        <v>14.91</v>
      </c>
      <c r="AH17">
        <v>0</v>
      </c>
      <c r="AI17">
        <v>1</v>
      </c>
      <c r="AJ17">
        <v>10.75</v>
      </c>
      <c r="AK17">
        <v>28.67</v>
      </c>
      <c r="AL17">
        <v>1</v>
      </c>
      <c r="AN17">
        <v>0</v>
      </c>
      <c r="AO17">
        <v>1</v>
      </c>
      <c r="AP17">
        <v>0</v>
      </c>
      <c r="AQ17">
        <v>0</v>
      </c>
      <c r="AR17">
        <v>0</v>
      </c>
      <c r="AS17" t="s">
        <v>3</v>
      </c>
      <c r="AT17">
        <v>7.0000000000000007E-2</v>
      </c>
      <c r="AU17" t="s">
        <v>3</v>
      </c>
      <c r="AV17">
        <v>0</v>
      </c>
      <c r="AW17">
        <v>2</v>
      </c>
      <c r="AX17">
        <v>59267785</v>
      </c>
      <c r="AY17">
        <v>1</v>
      </c>
      <c r="AZ17">
        <v>0</v>
      </c>
      <c r="BA17">
        <v>17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X17">
        <f>ROUND(Y17*Source!I70,9)</f>
        <v>0.11899999999999999</v>
      </c>
      <c r="CY17">
        <f>AB17</f>
        <v>1468.81</v>
      </c>
      <c r="CZ17">
        <f>AF17</f>
        <v>130.5</v>
      </c>
      <c r="DA17">
        <f>AJ17</f>
        <v>10.75</v>
      </c>
      <c r="DB17">
        <f t="shared" si="6"/>
        <v>9.14</v>
      </c>
      <c r="DC17">
        <f t="shared" si="7"/>
        <v>1.04</v>
      </c>
      <c r="DD17" t="s">
        <v>3</v>
      </c>
      <c r="DE17" t="s">
        <v>3</v>
      </c>
      <c r="DF17">
        <f t="shared" si="4"/>
        <v>0</v>
      </c>
      <c r="DG17">
        <f>ROUND(ROUND(AF17*CX17,2)*AJ17,2)</f>
        <v>166.95</v>
      </c>
      <c r="DH17">
        <f>ROUND(ROUND(AG17*CX17,2)*AK17,2)</f>
        <v>50.75</v>
      </c>
      <c r="DI17">
        <f t="shared" si="1"/>
        <v>0</v>
      </c>
      <c r="DJ17">
        <f>DG17</f>
        <v>166.95</v>
      </c>
      <c r="DK17">
        <v>0</v>
      </c>
    </row>
    <row r="18" spans="1:115" x14ac:dyDescent="0.2">
      <c r="A18">
        <f>ROW(Source!A70)</f>
        <v>70</v>
      </c>
      <c r="B18">
        <v>59267179</v>
      </c>
      <c r="C18">
        <v>59267781</v>
      </c>
      <c r="D18">
        <v>30516999</v>
      </c>
      <c r="E18">
        <v>30515945</v>
      </c>
      <c r="F18">
        <v>1</v>
      </c>
      <c r="G18">
        <v>30515945</v>
      </c>
      <c r="H18">
        <v>2</v>
      </c>
      <c r="I18" t="s">
        <v>303</v>
      </c>
      <c r="J18" t="s">
        <v>3</v>
      </c>
      <c r="K18" t="s">
        <v>304</v>
      </c>
      <c r="L18">
        <v>1344</v>
      </c>
      <c r="N18">
        <v>1008</v>
      </c>
      <c r="O18" t="s">
        <v>305</v>
      </c>
      <c r="P18" t="s">
        <v>305</v>
      </c>
      <c r="Q18">
        <v>1</v>
      </c>
      <c r="W18">
        <v>0</v>
      </c>
      <c r="X18">
        <v>-1180195794</v>
      </c>
      <c r="Y18">
        <f t="shared" si="5"/>
        <v>0.01</v>
      </c>
      <c r="AA18">
        <v>0</v>
      </c>
      <c r="AB18">
        <v>1.05</v>
      </c>
      <c r="AC18">
        <v>0</v>
      </c>
      <c r="AD18">
        <v>0</v>
      </c>
      <c r="AE18">
        <v>0</v>
      </c>
      <c r="AF18">
        <v>1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N18">
        <v>0</v>
      </c>
      <c r="AO18">
        <v>1</v>
      </c>
      <c r="AP18">
        <v>0</v>
      </c>
      <c r="AQ18">
        <v>0</v>
      </c>
      <c r="AR18">
        <v>0</v>
      </c>
      <c r="AS18" t="s">
        <v>3</v>
      </c>
      <c r="AT18">
        <v>0.01</v>
      </c>
      <c r="AU18" t="s">
        <v>3</v>
      </c>
      <c r="AV18">
        <v>0</v>
      </c>
      <c r="AW18">
        <v>2</v>
      </c>
      <c r="AX18">
        <v>59267786</v>
      </c>
      <c r="AY18">
        <v>1</v>
      </c>
      <c r="AZ18">
        <v>0</v>
      </c>
      <c r="BA18">
        <v>18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X18">
        <f>ROUND(Y18*Source!I70,9)</f>
        <v>1.7000000000000001E-2</v>
      </c>
      <c r="CY18">
        <f>AB18</f>
        <v>1.05</v>
      </c>
      <c r="CZ18">
        <f>AF18</f>
        <v>1</v>
      </c>
      <c r="DA18">
        <f>AJ18</f>
        <v>1</v>
      </c>
      <c r="DB18">
        <f t="shared" si="6"/>
        <v>0.01</v>
      </c>
      <c r="DC18">
        <f t="shared" si="7"/>
        <v>0</v>
      </c>
      <c r="DD18" t="s">
        <v>3</v>
      </c>
      <c r="DE18" t="s">
        <v>3</v>
      </c>
      <c r="DF18">
        <f t="shared" si="4"/>
        <v>0</v>
      </c>
      <c r="DG18">
        <f>ROUND(AF18*CX18,2)</f>
        <v>0.02</v>
      </c>
      <c r="DH18">
        <f>ROUND(AG18*CX18,2)</f>
        <v>0</v>
      </c>
      <c r="DI18">
        <f t="shared" si="1"/>
        <v>0</v>
      </c>
      <c r="DJ18">
        <f>DG18</f>
        <v>0.02</v>
      </c>
      <c r="DK18">
        <v>0</v>
      </c>
    </row>
    <row r="19" spans="1:115" x14ac:dyDescent="0.2">
      <c r="A19">
        <f>ROW(Source!A70)</f>
        <v>70</v>
      </c>
      <c r="B19">
        <v>59267179</v>
      </c>
      <c r="C19">
        <v>59267781</v>
      </c>
      <c r="D19">
        <v>30571181</v>
      </c>
      <c r="E19">
        <v>1</v>
      </c>
      <c r="F19">
        <v>1</v>
      </c>
      <c r="G19">
        <v>30515945</v>
      </c>
      <c r="H19">
        <v>3</v>
      </c>
      <c r="I19" t="s">
        <v>315</v>
      </c>
      <c r="J19" t="s">
        <v>316</v>
      </c>
      <c r="K19" t="s">
        <v>317</v>
      </c>
      <c r="L19">
        <v>1339</v>
      </c>
      <c r="N19">
        <v>1007</v>
      </c>
      <c r="O19" t="s">
        <v>135</v>
      </c>
      <c r="P19" t="s">
        <v>135</v>
      </c>
      <c r="Q19">
        <v>1</v>
      </c>
      <c r="W19">
        <v>0</v>
      </c>
      <c r="X19">
        <v>-862991314</v>
      </c>
      <c r="Y19">
        <f t="shared" si="5"/>
        <v>0.15</v>
      </c>
      <c r="AA19">
        <v>42.55</v>
      </c>
      <c r="AB19">
        <v>0</v>
      </c>
      <c r="AC19">
        <v>0</v>
      </c>
      <c r="AD19">
        <v>0</v>
      </c>
      <c r="AE19">
        <v>7.07</v>
      </c>
      <c r="AF19">
        <v>0</v>
      </c>
      <c r="AG19">
        <v>0</v>
      </c>
      <c r="AH19">
        <v>0</v>
      </c>
      <c r="AI19">
        <v>6</v>
      </c>
      <c r="AJ19">
        <v>1</v>
      </c>
      <c r="AK19">
        <v>1</v>
      </c>
      <c r="AL19">
        <v>1</v>
      </c>
      <c r="AN19">
        <v>0</v>
      </c>
      <c r="AO19">
        <v>1</v>
      </c>
      <c r="AP19">
        <v>0</v>
      </c>
      <c r="AQ19">
        <v>0</v>
      </c>
      <c r="AR19">
        <v>0</v>
      </c>
      <c r="AS19" t="s">
        <v>3</v>
      </c>
      <c r="AT19">
        <v>0.15</v>
      </c>
      <c r="AU19" t="s">
        <v>3</v>
      </c>
      <c r="AV19">
        <v>0</v>
      </c>
      <c r="AW19">
        <v>2</v>
      </c>
      <c r="AX19">
        <v>59267787</v>
      </c>
      <c r="AY19">
        <v>1</v>
      </c>
      <c r="AZ19">
        <v>0</v>
      </c>
      <c r="BA19">
        <v>19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X19">
        <f>ROUND(Y19*Source!I70,9)</f>
        <v>0.255</v>
      </c>
      <c r="CY19">
        <f>AA19</f>
        <v>42.55</v>
      </c>
      <c r="CZ19">
        <f>AE19</f>
        <v>7.07</v>
      </c>
      <c r="DA19">
        <f>AI19</f>
        <v>6</v>
      </c>
      <c r="DB19">
        <f t="shared" si="6"/>
        <v>1.06</v>
      </c>
      <c r="DC19">
        <f t="shared" si="7"/>
        <v>0</v>
      </c>
      <c r="DD19" t="s">
        <v>3</v>
      </c>
      <c r="DE19" t="s">
        <v>3</v>
      </c>
      <c r="DF19">
        <f>ROUND(ROUND(AE19*CX19,2)*AI19,2)</f>
        <v>10.8</v>
      </c>
      <c r="DG19">
        <f>ROUND(AF19*CX19,2)</f>
        <v>0</v>
      </c>
      <c r="DH19">
        <f>ROUND(AG19*CX19,2)</f>
        <v>0</v>
      </c>
      <c r="DI19">
        <f t="shared" si="1"/>
        <v>0</v>
      </c>
      <c r="DJ19">
        <f>DF19</f>
        <v>10.8</v>
      </c>
      <c r="DK19">
        <v>0</v>
      </c>
    </row>
    <row r="20" spans="1:115" x14ac:dyDescent="0.2">
      <c r="A20">
        <f>ROW(Source!A70)</f>
        <v>70</v>
      </c>
      <c r="B20">
        <v>59267179</v>
      </c>
      <c r="C20">
        <v>59267781</v>
      </c>
      <c r="D20">
        <v>30571740</v>
      </c>
      <c r="E20">
        <v>1</v>
      </c>
      <c r="F20">
        <v>1</v>
      </c>
      <c r="G20">
        <v>30515945</v>
      </c>
      <c r="H20">
        <v>3</v>
      </c>
      <c r="I20" t="s">
        <v>133</v>
      </c>
      <c r="J20" t="s">
        <v>136</v>
      </c>
      <c r="K20" t="s">
        <v>134</v>
      </c>
      <c r="L20">
        <v>1339</v>
      </c>
      <c r="N20">
        <v>1007</v>
      </c>
      <c r="O20" t="s">
        <v>135</v>
      </c>
      <c r="P20" t="s">
        <v>135</v>
      </c>
      <c r="Q20">
        <v>1</v>
      </c>
      <c r="W20">
        <v>0</v>
      </c>
      <c r="X20">
        <v>125045279</v>
      </c>
      <c r="Y20">
        <f t="shared" si="5"/>
        <v>1.1000000000000001</v>
      </c>
      <c r="AA20">
        <v>724.5</v>
      </c>
      <c r="AB20">
        <v>0</v>
      </c>
      <c r="AC20">
        <v>0</v>
      </c>
      <c r="AD20">
        <v>0</v>
      </c>
      <c r="AE20">
        <v>104.99</v>
      </c>
      <c r="AF20">
        <v>0</v>
      </c>
      <c r="AG20">
        <v>0</v>
      </c>
      <c r="AH20">
        <v>0</v>
      </c>
      <c r="AI20">
        <v>6.88</v>
      </c>
      <c r="AJ20">
        <v>1</v>
      </c>
      <c r="AK20">
        <v>1</v>
      </c>
      <c r="AL20">
        <v>1</v>
      </c>
      <c r="AN20">
        <v>0</v>
      </c>
      <c r="AO20">
        <v>0</v>
      </c>
      <c r="AP20">
        <v>0</v>
      </c>
      <c r="AQ20">
        <v>0</v>
      </c>
      <c r="AR20">
        <v>0</v>
      </c>
      <c r="AS20" t="s">
        <v>3</v>
      </c>
      <c r="AT20">
        <v>1.1000000000000001</v>
      </c>
      <c r="AU20" t="s">
        <v>3</v>
      </c>
      <c r="AV20">
        <v>0</v>
      </c>
      <c r="AW20">
        <v>1</v>
      </c>
      <c r="AX20">
        <v>-1</v>
      </c>
      <c r="AY20">
        <v>0</v>
      </c>
      <c r="AZ20">
        <v>0</v>
      </c>
      <c r="BA20" t="s">
        <v>3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X20">
        <f>ROUND(Y20*Source!I70,9)</f>
        <v>1.87</v>
      </c>
      <c r="CY20">
        <f>AA20</f>
        <v>724.5</v>
      </c>
      <c r="CZ20">
        <f>AE20</f>
        <v>104.99</v>
      </c>
      <c r="DA20">
        <f>AI20</f>
        <v>6.88</v>
      </c>
      <c r="DB20">
        <f t="shared" si="6"/>
        <v>115.49</v>
      </c>
      <c r="DC20">
        <f t="shared" si="7"/>
        <v>0</v>
      </c>
      <c r="DD20" t="s">
        <v>3</v>
      </c>
      <c r="DE20" t="s">
        <v>3</v>
      </c>
      <c r="DF20">
        <f>ROUND(ROUND(AE20*CX20,2)*AI20,2)</f>
        <v>1350.75</v>
      </c>
      <c r="DG20">
        <f>ROUND(AF20*CX20,2)</f>
        <v>0</v>
      </c>
      <c r="DH20">
        <f>ROUND(AG20*CX20,2)</f>
        <v>0</v>
      </c>
      <c r="DI20">
        <f t="shared" si="1"/>
        <v>0</v>
      </c>
      <c r="DJ20">
        <f>DF20</f>
        <v>1350.75</v>
      </c>
      <c r="DK20">
        <v>0</v>
      </c>
    </row>
    <row r="21" spans="1:115" x14ac:dyDescent="0.2">
      <c r="A21">
        <f>ROW(Source!A70)</f>
        <v>70</v>
      </c>
      <c r="B21">
        <v>59267179</v>
      </c>
      <c r="C21">
        <v>59267781</v>
      </c>
      <c r="D21">
        <v>30542165</v>
      </c>
      <c r="E21">
        <v>30515945</v>
      </c>
      <c r="F21">
        <v>1</v>
      </c>
      <c r="G21">
        <v>30515945</v>
      </c>
      <c r="H21">
        <v>3</v>
      </c>
      <c r="I21" t="s">
        <v>318</v>
      </c>
      <c r="J21" t="s">
        <v>3</v>
      </c>
      <c r="K21" t="s">
        <v>319</v>
      </c>
      <c r="L21">
        <v>1339</v>
      </c>
      <c r="N21">
        <v>1007</v>
      </c>
      <c r="O21" t="s">
        <v>135</v>
      </c>
      <c r="P21" t="s">
        <v>135</v>
      </c>
      <c r="Q21">
        <v>1</v>
      </c>
      <c r="W21">
        <v>0</v>
      </c>
      <c r="X21">
        <v>396016773</v>
      </c>
      <c r="Y21">
        <f t="shared" si="5"/>
        <v>1.1000000000000001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1</v>
      </c>
      <c r="AJ21">
        <v>1</v>
      </c>
      <c r="AK21">
        <v>1</v>
      </c>
      <c r="AL21">
        <v>1</v>
      </c>
      <c r="AN21">
        <v>0</v>
      </c>
      <c r="AO21">
        <v>0</v>
      </c>
      <c r="AP21">
        <v>0</v>
      </c>
      <c r="AQ21">
        <v>0</v>
      </c>
      <c r="AR21">
        <v>0</v>
      </c>
      <c r="AS21" t="s">
        <v>3</v>
      </c>
      <c r="AT21">
        <v>1.1000000000000001</v>
      </c>
      <c r="AU21" t="s">
        <v>3</v>
      </c>
      <c r="AV21">
        <v>0</v>
      </c>
      <c r="AW21">
        <v>2</v>
      </c>
      <c r="AX21">
        <v>59267788</v>
      </c>
      <c r="AY21">
        <v>1</v>
      </c>
      <c r="AZ21">
        <v>0</v>
      </c>
      <c r="BA21">
        <v>20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X21">
        <f>ROUND(Y21*Source!I70,9)</f>
        <v>1.87</v>
      </c>
      <c r="CY21">
        <f>AA21</f>
        <v>0</v>
      </c>
      <c r="CZ21">
        <f>AE21</f>
        <v>0</v>
      </c>
      <c r="DA21">
        <f>AI21</f>
        <v>1</v>
      </c>
      <c r="DB21">
        <f t="shared" si="6"/>
        <v>0</v>
      </c>
      <c r="DC21">
        <f t="shared" si="7"/>
        <v>0</v>
      </c>
      <c r="DD21" t="s">
        <v>3</v>
      </c>
      <c r="DE21" t="s">
        <v>3</v>
      </c>
      <c r="DF21">
        <f>ROUND(AE21*CX21,2)</f>
        <v>0</v>
      </c>
      <c r="DG21">
        <f>ROUND(AF21*CX21,2)</f>
        <v>0</v>
      </c>
      <c r="DH21">
        <f>ROUND(AG21*CX21,2)</f>
        <v>0</v>
      </c>
      <c r="DI21">
        <f t="shared" si="1"/>
        <v>0</v>
      </c>
      <c r="DJ21">
        <f>DF21</f>
        <v>0</v>
      </c>
      <c r="DK21">
        <v>0</v>
      </c>
    </row>
    <row r="22" spans="1:115" x14ac:dyDescent="0.2">
      <c r="A22">
        <f>ROW(Source!A72)</f>
        <v>72</v>
      </c>
      <c r="B22">
        <v>59267179</v>
      </c>
      <c r="C22">
        <v>59267862</v>
      </c>
      <c r="D22">
        <v>30515951</v>
      </c>
      <c r="E22">
        <v>30515945</v>
      </c>
      <c r="F22">
        <v>1</v>
      </c>
      <c r="G22">
        <v>30515945</v>
      </c>
      <c r="H22">
        <v>1</v>
      </c>
      <c r="I22" t="s">
        <v>283</v>
      </c>
      <c r="J22" t="s">
        <v>3</v>
      </c>
      <c r="K22" t="s">
        <v>284</v>
      </c>
      <c r="L22">
        <v>1191</v>
      </c>
      <c r="N22">
        <v>1013</v>
      </c>
      <c r="O22" t="s">
        <v>285</v>
      </c>
      <c r="P22" t="s">
        <v>285</v>
      </c>
      <c r="Q22">
        <v>1</v>
      </c>
      <c r="W22">
        <v>0</v>
      </c>
      <c r="X22">
        <v>476480486</v>
      </c>
      <c r="Y22">
        <f t="shared" si="5"/>
        <v>0.85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1</v>
      </c>
      <c r="AJ22">
        <v>1</v>
      </c>
      <c r="AK22">
        <v>1</v>
      </c>
      <c r="AL22">
        <v>1</v>
      </c>
      <c r="AN22">
        <v>0</v>
      </c>
      <c r="AO22">
        <v>1</v>
      </c>
      <c r="AP22">
        <v>0</v>
      </c>
      <c r="AQ22">
        <v>0</v>
      </c>
      <c r="AR22">
        <v>0</v>
      </c>
      <c r="AS22" t="s">
        <v>3</v>
      </c>
      <c r="AT22">
        <v>0.85</v>
      </c>
      <c r="AU22" t="s">
        <v>3</v>
      </c>
      <c r="AV22">
        <v>1</v>
      </c>
      <c r="AW22">
        <v>2</v>
      </c>
      <c r="AX22">
        <v>59267863</v>
      </c>
      <c r="AY22">
        <v>1</v>
      </c>
      <c r="AZ22">
        <v>0</v>
      </c>
      <c r="BA22">
        <v>21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X22">
        <f>ROUND(Y22*Source!I72,9)</f>
        <v>1.4450000000000001</v>
      </c>
      <c r="CY22">
        <f>AD22</f>
        <v>0</v>
      </c>
      <c r="CZ22">
        <f>AH22</f>
        <v>0</v>
      </c>
      <c r="DA22">
        <f>AL22</f>
        <v>1</v>
      </c>
      <c r="DB22">
        <f t="shared" si="6"/>
        <v>0</v>
      </c>
      <c r="DC22">
        <f t="shared" si="7"/>
        <v>0</v>
      </c>
      <c r="DD22" t="s">
        <v>3</v>
      </c>
      <c r="DE22" t="s">
        <v>3</v>
      </c>
      <c r="DF22">
        <f>ROUND(AE22*CX22,2)</f>
        <v>0</v>
      </c>
      <c r="DG22">
        <f>ROUND(AF22*CX22,2)</f>
        <v>0</v>
      </c>
      <c r="DH22">
        <f>ROUND(AG22*CX22,2)</f>
        <v>0</v>
      </c>
      <c r="DI22">
        <f t="shared" si="1"/>
        <v>0</v>
      </c>
      <c r="DJ22">
        <f>DI22</f>
        <v>0</v>
      </c>
      <c r="DK22">
        <v>0</v>
      </c>
    </row>
    <row r="23" spans="1:115" x14ac:dyDescent="0.2">
      <c r="A23">
        <f>ROW(Source!A72)</f>
        <v>72</v>
      </c>
      <c r="B23">
        <v>59267179</v>
      </c>
      <c r="C23">
        <v>59267862</v>
      </c>
      <c r="D23">
        <v>30595692</v>
      </c>
      <c r="E23">
        <v>1</v>
      </c>
      <c r="F23">
        <v>1</v>
      </c>
      <c r="G23">
        <v>30515945</v>
      </c>
      <c r="H23">
        <v>2</v>
      </c>
      <c r="I23" t="s">
        <v>306</v>
      </c>
      <c r="J23" t="s">
        <v>307</v>
      </c>
      <c r="K23" t="s">
        <v>308</v>
      </c>
      <c r="L23">
        <v>1368</v>
      </c>
      <c r="N23">
        <v>1011</v>
      </c>
      <c r="O23" t="s">
        <v>289</v>
      </c>
      <c r="P23" t="s">
        <v>289</v>
      </c>
      <c r="Q23">
        <v>1</v>
      </c>
      <c r="W23">
        <v>0</v>
      </c>
      <c r="X23">
        <v>-1037327012</v>
      </c>
      <c r="Y23">
        <f t="shared" si="5"/>
        <v>0.2</v>
      </c>
      <c r="AA23">
        <v>0</v>
      </c>
      <c r="AB23">
        <v>568.11</v>
      </c>
      <c r="AC23">
        <v>380.32</v>
      </c>
      <c r="AD23">
        <v>0</v>
      </c>
      <c r="AE23">
        <v>0</v>
      </c>
      <c r="AF23">
        <v>33.35</v>
      </c>
      <c r="AG23">
        <v>12.67</v>
      </c>
      <c r="AH23">
        <v>0</v>
      </c>
      <c r="AI23">
        <v>1</v>
      </c>
      <c r="AJ23">
        <v>16.27</v>
      </c>
      <c r="AK23">
        <v>28.67</v>
      </c>
      <c r="AL23">
        <v>1</v>
      </c>
      <c r="AN23">
        <v>0</v>
      </c>
      <c r="AO23">
        <v>1</v>
      </c>
      <c r="AP23">
        <v>0</v>
      </c>
      <c r="AQ23">
        <v>0</v>
      </c>
      <c r="AR23">
        <v>0</v>
      </c>
      <c r="AS23" t="s">
        <v>3</v>
      </c>
      <c r="AT23">
        <v>0.2</v>
      </c>
      <c r="AU23" t="s">
        <v>3</v>
      </c>
      <c r="AV23">
        <v>0</v>
      </c>
      <c r="AW23">
        <v>2</v>
      </c>
      <c r="AX23">
        <v>59267864</v>
      </c>
      <c r="AY23">
        <v>1</v>
      </c>
      <c r="AZ23">
        <v>0</v>
      </c>
      <c r="BA23">
        <v>22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X23">
        <f>ROUND(Y23*Source!I72,9)</f>
        <v>0.34</v>
      </c>
      <c r="CY23">
        <f>AB23</f>
        <v>568.11</v>
      </c>
      <c r="CZ23">
        <f>AF23</f>
        <v>33.35</v>
      </c>
      <c r="DA23">
        <f>AJ23</f>
        <v>16.27</v>
      </c>
      <c r="DB23">
        <f t="shared" si="6"/>
        <v>6.67</v>
      </c>
      <c r="DC23">
        <f t="shared" si="7"/>
        <v>2.5299999999999998</v>
      </c>
      <c r="DD23" t="s">
        <v>3</v>
      </c>
      <c r="DE23" t="s">
        <v>3</v>
      </c>
      <c r="DF23">
        <f>ROUND(AE23*CX23,2)</f>
        <v>0</v>
      </c>
      <c r="DG23">
        <f>ROUND(ROUND(AF23*CX23,2)*AJ23,2)</f>
        <v>184.5</v>
      </c>
      <c r="DH23">
        <f>ROUND(ROUND(AG23*CX23,2)*AK23,2)</f>
        <v>123.57</v>
      </c>
      <c r="DI23">
        <f t="shared" si="1"/>
        <v>0</v>
      </c>
      <c r="DJ23">
        <f>DG23</f>
        <v>184.5</v>
      </c>
      <c r="DK23">
        <v>0</v>
      </c>
    </row>
    <row r="24" spans="1:115" x14ac:dyDescent="0.2">
      <c r="A24">
        <f>ROW(Source!A72)</f>
        <v>72</v>
      </c>
      <c r="B24">
        <v>59267179</v>
      </c>
      <c r="C24">
        <v>59267862</v>
      </c>
      <c r="D24">
        <v>30596103</v>
      </c>
      <c r="E24">
        <v>1</v>
      </c>
      <c r="F24">
        <v>1</v>
      </c>
      <c r="G24">
        <v>30515945</v>
      </c>
      <c r="H24">
        <v>2</v>
      </c>
      <c r="I24" t="s">
        <v>309</v>
      </c>
      <c r="J24" t="s">
        <v>310</v>
      </c>
      <c r="K24" t="s">
        <v>311</v>
      </c>
      <c r="L24">
        <v>1368</v>
      </c>
      <c r="N24">
        <v>1011</v>
      </c>
      <c r="O24" t="s">
        <v>289</v>
      </c>
      <c r="P24" t="s">
        <v>289</v>
      </c>
      <c r="Q24">
        <v>1</v>
      </c>
      <c r="W24">
        <v>0</v>
      </c>
      <c r="X24">
        <v>-259930799</v>
      </c>
      <c r="Y24">
        <f t="shared" si="5"/>
        <v>0.4</v>
      </c>
      <c r="AA24">
        <v>0</v>
      </c>
      <c r="AB24">
        <v>1.31</v>
      </c>
      <c r="AC24">
        <v>0</v>
      </c>
      <c r="AD24">
        <v>0</v>
      </c>
      <c r="AE24">
        <v>0</v>
      </c>
      <c r="AF24">
        <v>0.21</v>
      </c>
      <c r="AG24">
        <v>0</v>
      </c>
      <c r="AH24">
        <v>0</v>
      </c>
      <c r="AI24">
        <v>1</v>
      </c>
      <c r="AJ24">
        <v>5.95</v>
      </c>
      <c r="AK24">
        <v>28.67</v>
      </c>
      <c r="AL24">
        <v>1</v>
      </c>
      <c r="AN24">
        <v>0</v>
      </c>
      <c r="AO24">
        <v>1</v>
      </c>
      <c r="AP24">
        <v>0</v>
      </c>
      <c r="AQ24">
        <v>0</v>
      </c>
      <c r="AR24">
        <v>0</v>
      </c>
      <c r="AS24" t="s">
        <v>3</v>
      </c>
      <c r="AT24">
        <v>0.4</v>
      </c>
      <c r="AU24" t="s">
        <v>3</v>
      </c>
      <c r="AV24">
        <v>0</v>
      </c>
      <c r="AW24">
        <v>2</v>
      </c>
      <c r="AX24">
        <v>59267865</v>
      </c>
      <c r="AY24">
        <v>1</v>
      </c>
      <c r="AZ24">
        <v>0</v>
      </c>
      <c r="BA24">
        <v>23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X24">
        <f>ROUND(Y24*Source!I72,9)</f>
        <v>0.68</v>
      </c>
      <c r="CY24">
        <f>AB24</f>
        <v>1.31</v>
      </c>
      <c r="CZ24">
        <f>AF24</f>
        <v>0.21</v>
      </c>
      <c r="DA24">
        <f>AJ24</f>
        <v>5.95</v>
      </c>
      <c r="DB24">
        <f t="shared" si="6"/>
        <v>0.08</v>
      </c>
      <c r="DC24">
        <f t="shared" si="7"/>
        <v>0</v>
      </c>
      <c r="DD24" t="s">
        <v>3</v>
      </c>
      <c r="DE24" t="s">
        <v>3</v>
      </c>
      <c r="DF24">
        <f>ROUND(AE24*CX24,2)</f>
        <v>0</v>
      </c>
      <c r="DG24">
        <f>ROUND(ROUND(AF24*CX24,2)*AJ24,2)</f>
        <v>0.83</v>
      </c>
      <c r="DH24">
        <f>ROUND(ROUND(AG24*CX24,2)*AK24,2)</f>
        <v>0</v>
      </c>
      <c r="DI24">
        <f t="shared" si="1"/>
        <v>0</v>
      </c>
      <c r="DJ24">
        <f>DG24</f>
        <v>0.83</v>
      </c>
      <c r="DK24">
        <v>0</v>
      </c>
    </row>
    <row r="25" spans="1:115" x14ac:dyDescent="0.2">
      <c r="A25">
        <f>ROW(Source!A72)</f>
        <v>72</v>
      </c>
      <c r="B25">
        <v>59267179</v>
      </c>
      <c r="C25">
        <v>59267862</v>
      </c>
      <c r="D25">
        <v>30595410</v>
      </c>
      <c r="E25">
        <v>1</v>
      </c>
      <c r="F25">
        <v>1</v>
      </c>
      <c r="G25">
        <v>30515945</v>
      </c>
      <c r="H25">
        <v>2</v>
      </c>
      <c r="I25" t="s">
        <v>312</v>
      </c>
      <c r="J25" t="s">
        <v>313</v>
      </c>
      <c r="K25" t="s">
        <v>314</v>
      </c>
      <c r="L25">
        <v>1368</v>
      </c>
      <c r="N25">
        <v>1011</v>
      </c>
      <c r="O25" t="s">
        <v>289</v>
      </c>
      <c r="P25" t="s">
        <v>289</v>
      </c>
      <c r="Q25">
        <v>1</v>
      </c>
      <c r="W25">
        <v>0</v>
      </c>
      <c r="X25">
        <v>-911411171</v>
      </c>
      <c r="Y25">
        <f t="shared" si="5"/>
        <v>7.0000000000000007E-2</v>
      </c>
      <c r="AA25">
        <v>0</v>
      </c>
      <c r="AB25">
        <v>1468.81</v>
      </c>
      <c r="AC25">
        <v>447.56</v>
      </c>
      <c r="AD25">
        <v>0</v>
      </c>
      <c r="AE25">
        <v>0</v>
      </c>
      <c r="AF25">
        <v>130.5</v>
      </c>
      <c r="AG25">
        <v>14.91</v>
      </c>
      <c r="AH25">
        <v>0</v>
      </c>
      <c r="AI25">
        <v>1</v>
      </c>
      <c r="AJ25">
        <v>10.75</v>
      </c>
      <c r="AK25">
        <v>28.67</v>
      </c>
      <c r="AL25">
        <v>1</v>
      </c>
      <c r="AN25">
        <v>0</v>
      </c>
      <c r="AO25">
        <v>1</v>
      </c>
      <c r="AP25">
        <v>0</v>
      </c>
      <c r="AQ25">
        <v>0</v>
      </c>
      <c r="AR25">
        <v>0</v>
      </c>
      <c r="AS25" t="s">
        <v>3</v>
      </c>
      <c r="AT25">
        <v>7.0000000000000007E-2</v>
      </c>
      <c r="AU25" t="s">
        <v>3</v>
      </c>
      <c r="AV25">
        <v>0</v>
      </c>
      <c r="AW25">
        <v>2</v>
      </c>
      <c r="AX25">
        <v>59267866</v>
      </c>
      <c r="AY25">
        <v>1</v>
      </c>
      <c r="AZ25">
        <v>0</v>
      </c>
      <c r="BA25">
        <v>24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X25">
        <f>ROUND(Y25*Source!I72,9)</f>
        <v>0.11899999999999999</v>
      </c>
      <c r="CY25">
        <f>AB25</f>
        <v>1468.81</v>
      </c>
      <c r="CZ25">
        <f>AF25</f>
        <v>130.5</v>
      </c>
      <c r="DA25">
        <f>AJ25</f>
        <v>10.75</v>
      </c>
      <c r="DB25">
        <f t="shared" si="6"/>
        <v>9.14</v>
      </c>
      <c r="DC25">
        <f t="shared" si="7"/>
        <v>1.04</v>
      </c>
      <c r="DD25" t="s">
        <v>3</v>
      </c>
      <c r="DE25" t="s">
        <v>3</v>
      </c>
      <c r="DF25">
        <f>ROUND(AE25*CX25,2)</f>
        <v>0</v>
      </c>
      <c r="DG25">
        <f>ROUND(ROUND(AF25*CX25,2)*AJ25,2)</f>
        <v>166.95</v>
      </c>
      <c r="DH25">
        <f>ROUND(ROUND(AG25*CX25,2)*AK25,2)</f>
        <v>50.75</v>
      </c>
      <c r="DI25">
        <f t="shared" si="1"/>
        <v>0</v>
      </c>
      <c r="DJ25">
        <f>DG25</f>
        <v>166.95</v>
      </c>
      <c r="DK25">
        <v>0</v>
      </c>
    </row>
    <row r="26" spans="1:115" x14ac:dyDescent="0.2">
      <c r="A26">
        <f>ROW(Source!A72)</f>
        <v>72</v>
      </c>
      <c r="B26">
        <v>59267179</v>
      </c>
      <c r="C26">
        <v>59267862</v>
      </c>
      <c r="D26">
        <v>30571181</v>
      </c>
      <c r="E26">
        <v>1</v>
      </c>
      <c r="F26">
        <v>1</v>
      </c>
      <c r="G26">
        <v>30515945</v>
      </c>
      <c r="H26">
        <v>3</v>
      </c>
      <c r="I26" t="s">
        <v>315</v>
      </c>
      <c r="J26" t="s">
        <v>316</v>
      </c>
      <c r="K26" t="s">
        <v>317</v>
      </c>
      <c r="L26">
        <v>1339</v>
      </c>
      <c r="N26">
        <v>1007</v>
      </c>
      <c r="O26" t="s">
        <v>135</v>
      </c>
      <c r="P26" t="s">
        <v>135</v>
      </c>
      <c r="Q26">
        <v>1</v>
      </c>
      <c r="W26">
        <v>0</v>
      </c>
      <c r="X26">
        <v>-862991314</v>
      </c>
      <c r="Y26">
        <f t="shared" si="5"/>
        <v>0.15</v>
      </c>
      <c r="AA26">
        <v>42.55</v>
      </c>
      <c r="AB26">
        <v>0</v>
      </c>
      <c r="AC26">
        <v>0</v>
      </c>
      <c r="AD26">
        <v>0</v>
      </c>
      <c r="AE26">
        <v>7.07</v>
      </c>
      <c r="AF26">
        <v>0</v>
      </c>
      <c r="AG26">
        <v>0</v>
      </c>
      <c r="AH26">
        <v>0</v>
      </c>
      <c r="AI26">
        <v>6</v>
      </c>
      <c r="AJ26">
        <v>1</v>
      </c>
      <c r="AK26">
        <v>1</v>
      </c>
      <c r="AL26">
        <v>1</v>
      </c>
      <c r="AN26">
        <v>0</v>
      </c>
      <c r="AO26">
        <v>1</v>
      </c>
      <c r="AP26">
        <v>0</v>
      </c>
      <c r="AQ26">
        <v>0</v>
      </c>
      <c r="AR26">
        <v>0</v>
      </c>
      <c r="AS26" t="s">
        <v>3</v>
      </c>
      <c r="AT26">
        <v>0.15</v>
      </c>
      <c r="AU26" t="s">
        <v>3</v>
      </c>
      <c r="AV26">
        <v>0</v>
      </c>
      <c r="AW26">
        <v>2</v>
      </c>
      <c r="AX26">
        <v>59267867</v>
      </c>
      <c r="AY26">
        <v>1</v>
      </c>
      <c r="AZ26">
        <v>0</v>
      </c>
      <c r="BA26">
        <v>25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X26">
        <f>ROUND(Y26*Source!I72,9)</f>
        <v>0.255</v>
      </c>
      <c r="CY26">
        <f>AA26</f>
        <v>42.55</v>
      </c>
      <c r="CZ26">
        <f>AE26</f>
        <v>7.07</v>
      </c>
      <c r="DA26">
        <f>AI26</f>
        <v>6</v>
      </c>
      <c r="DB26">
        <f t="shared" si="6"/>
        <v>1.06</v>
      </c>
      <c r="DC26">
        <f t="shared" si="7"/>
        <v>0</v>
      </c>
      <c r="DD26" t="s">
        <v>3</v>
      </c>
      <c r="DE26" t="s">
        <v>3</v>
      </c>
      <c r="DF26">
        <f>ROUND(ROUND(AE26*CX26,2)*AI26,2)</f>
        <v>10.8</v>
      </c>
      <c r="DG26">
        <f>ROUND(AF26*CX26,2)</f>
        <v>0</v>
      </c>
      <c r="DH26">
        <f>ROUND(AG26*CX26,2)</f>
        <v>0</v>
      </c>
      <c r="DI26">
        <f t="shared" si="1"/>
        <v>0</v>
      </c>
      <c r="DJ26">
        <f>DF26</f>
        <v>10.8</v>
      </c>
      <c r="DK26">
        <v>0</v>
      </c>
    </row>
    <row r="27" spans="1:115" x14ac:dyDescent="0.2">
      <c r="A27">
        <f>ROW(Source!A72)</f>
        <v>72</v>
      </c>
      <c r="B27">
        <v>59267179</v>
      </c>
      <c r="C27">
        <v>59267862</v>
      </c>
      <c r="D27">
        <v>30572440</v>
      </c>
      <c r="E27">
        <v>1</v>
      </c>
      <c r="F27">
        <v>1</v>
      </c>
      <c r="G27">
        <v>30515945</v>
      </c>
      <c r="H27">
        <v>3</v>
      </c>
      <c r="I27" t="s">
        <v>142</v>
      </c>
      <c r="J27" t="s">
        <v>144</v>
      </c>
      <c r="K27" t="s">
        <v>143</v>
      </c>
      <c r="L27">
        <v>1339</v>
      </c>
      <c r="N27">
        <v>1007</v>
      </c>
      <c r="O27" t="s">
        <v>135</v>
      </c>
      <c r="P27" t="s">
        <v>135</v>
      </c>
      <c r="Q27">
        <v>1</v>
      </c>
      <c r="W27">
        <v>0</v>
      </c>
      <c r="X27">
        <v>20908428</v>
      </c>
      <c r="Y27">
        <f t="shared" si="5"/>
        <v>1.1499999999999999</v>
      </c>
      <c r="AA27">
        <v>3006.6</v>
      </c>
      <c r="AB27">
        <v>0</v>
      </c>
      <c r="AC27">
        <v>0</v>
      </c>
      <c r="AD27">
        <v>0</v>
      </c>
      <c r="AE27">
        <v>194.02</v>
      </c>
      <c r="AF27">
        <v>0</v>
      </c>
      <c r="AG27">
        <v>0</v>
      </c>
      <c r="AH27">
        <v>0</v>
      </c>
      <c r="AI27">
        <v>15.45</v>
      </c>
      <c r="AJ27">
        <v>1</v>
      </c>
      <c r="AK27">
        <v>1</v>
      </c>
      <c r="AL27">
        <v>1</v>
      </c>
      <c r="AN27">
        <v>0</v>
      </c>
      <c r="AO27">
        <v>0</v>
      </c>
      <c r="AP27">
        <v>0</v>
      </c>
      <c r="AQ27">
        <v>0</v>
      </c>
      <c r="AR27">
        <v>0</v>
      </c>
      <c r="AS27" t="s">
        <v>3</v>
      </c>
      <c r="AT27">
        <v>1.1499999999999999</v>
      </c>
      <c r="AU27" t="s">
        <v>3</v>
      </c>
      <c r="AV27">
        <v>0</v>
      </c>
      <c r="AW27">
        <v>1</v>
      </c>
      <c r="AX27">
        <v>-1</v>
      </c>
      <c r="AY27">
        <v>0</v>
      </c>
      <c r="AZ27">
        <v>0</v>
      </c>
      <c r="BA27" t="s">
        <v>3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X27">
        <f>ROUND(Y27*Source!I72,9)</f>
        <v>1.9550000000000001</v>
      </c>
      <c r="CY27">
        <f>AA27</f>
        <v>3006.6</v>
      </c>
      <c r="CZ27">
        <f>AE27</f>
        <v>194.02</v>
      </c>
      <c r="DA27">
        <f>AI27</f>
        <v>15.45</v>
      </c>
      <c r="DB27">
        <f t="shared" si="6"/>
        <v>223.12</v>
      </c>
      <c r="DC27">
        <f t="shared" si="7"/>
        <v>0</v>
      </c>
      <c r="DD27" t="s">
        <v>3</v>
      </c>
      <c r="DE27" t="s">
        <v>3</v>
      </c>
      <c r="DF27">
        <f>ROUND(ROUND(AE27*CX27,2)*AI27,2)</f>
        <v>5860.34</v>
      </c>
      <c r="DG27">
        <f>ROUND(AF27*CX27,2)</f>
        <v>0</v>
      </c>
      <c r="DH27">
        <f>ROUND(AG27*CX27,2)</f>
        <v>0</v>
      </c>
      <c r="DI27">
        <f t="shared" si="1"/>
        <v>0</v>
      </c>
      <c r="DJ27">
        <f>DF27</f>
        <v>5860.34</v>
      </c>
      <c r="DK27">
        <v>0</v>
      </c>
    </row>
    <row r="28" spans="1:115" x14ac:dyDescent="0.2">
      <c r="A28">
        <f>ROW(Source!A72)</f>
        <v>72</v>
      </c>
      <c r="B28">
        <v>59267179</v>
      </c>
      <c r="C28">
        <v>59267862</v>
      </c>
      <c r="D28">
        <v>30535859</v>
      </c>
      <c r="E28">
        <v>30515945</v>
      </c>
      <c r="F28">
        <v>1</v>
      </c>
      <c r="G28">
        <v>30515945</v>
      </c>
      <c r="H28">
        <v>3</v>
      </c>
      <c r="I28" t="s">
        <v>320</v>
      </c>
      <c r="J28" t="s">
        <v>3</v>
      </c>
      <c r="K28" t="s">
        <v>321</v>
      </c>
      <c r="L28">
        <v>1339</v>
      </c>
      <c r="N28">
        <v>1007</v>
      </c>
      <c r="O28" t="s">
        <v>135</v>
      </c>
      <c r="P28" t="s">
        <v>135</v>
      </c>
      <c r="Q28">
        <v>1</v>
      </c>
      <c r="W28">
        <v>0</v>
      </c>
      <c r="X28">
        <v>-516720368</v>
      </c>
      <c r="Y28">
        <f t="shared" si="5"/>
        <v>1.1499999999999999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1</v>
      </c>
      <c r="AJ28">
        <v>1</v>
      </c>
      <c r="AK28">
        <v>1</v>
      </c>
      <c r="AL28">
        <v>1</v>
      </c>
      <c r="AN28">
        <v>0</v>
      </c>
      <c r="AO28">
        <v>0</v>
      </c>
      <c r="AP28">
        <v>0</v>
      </c>
      <c r="AQ28">
        <v>0</v>
      </c>
      <c r="AR28">
        <v>0</v>
      </c>
      <c r="AS28" t="s">
        <v>3</v>
      </c>
      <c r="AT28">
        <v>1.1499999999999999</v>
      </c>
      <c r="AU28" t="s">
        <v>3</v>
      </c>
      <c r="AV28">
        <v>0</v>
      </c>
      <c r="AW28">
        <v>2</v>
      </c>
      <c r="AX28">
        <v>59267868</v>
      </c>
      <c r="AY28">
        <v>1</v>
      </c>
      <c r="AZ28">
        <v>0</v>
      </c>
      <c r="BA28">
        <v>26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X28">
        <f>ROUND(Y28*Source!I72,9)</f>
        <v>1.9550000000000001</v>
      </c>
      <c r="CY28">
        <f>AA28</f>
        <v>0</v>
      </c>
      <c r="CZ28">
        <f>AE28</f>
        <v>0</v>
      </c>
      <c r="DA28">
        <f>AI28</f>
        <v>1</v>
      </c>
      <c r="DB28">
        <f t="shared" si="6"/>
        <v>0</v>
      </c>
      <c r="DC28">
        <f t="shared" si="7"/>
        <v>0</v>
      </c>
      <c r="DD28" t="s">
        <v>3</v>
      </c>
      <c r="DE28" t="s">
        <v>3</v>
      </c>
      <c r="DF28">
        <f>ROUND(AE28*CX28,2)</f>
        <v>0</v>
      </c>
      <c r="DG28">
        <f>ROUND(AF28*CX28,2)</f>
        <v>0</v>
      </c>
      <c r="DH28">
        <f>ROUND(AG28*CX28,2)</f>
        <v>0</v>
      </c>
      <c r="DI28">
        <f t="shared" si="1"/>
        <v>0</v>
      </c>
      <c r="DJ28">
        <f>DF28</f>
        <v>0</v>
      </c>
      <c r="DK28">
        <v>0</v>
      </c>
    </row>
    <row r="29" spans="1:115" x14ac:dyDescent="0.2">
      <c r="A29">
        <f>ROW(Source!A74)</f>
        <v>74</v>
      </c>
      <c r="B29">
        <v>59267179</v>
      </c>
      <c r="C29">
        <v>59268053</v>
      </c>
      <c r="D29">
        <v>30515951</v>
      </c>
      <c r="E29">
        <v>30515945</v>
      </c>
      <c r="F29">
        <v>1</v>
      </c>
      <c r="G29">
        <v>30515945</v>
      </c>
      <c r="H29">
        <v>1</v>
      </c>
      <c r="I29" t="s">
        <v>283</v>
      </c>
      <c r="J29" t="s">
        <v>3</v>
      </c>
      <c r="K29" t="s">
        <v>284</v>
      </c>
      <c r="L29">
        <v>1191</v>
      </c>
      <c r="N29">
        <v>1013</v>
      </c>
      <c r="O29" t="s">
        <v>285</v>
      </c>
      <c r="P29" t="s">
        <v>285</v>
      </c>
      <c r="Q29">
        <v>1</v>
      </c>
      <c r="W29">
        <v>0</v>
      </c>
      <c r="X29">
        <v>476480486</v>
      </c>
      <c r="Y29">
        <f t="shared" si="5"/>
        <v>82.5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1</v>
      </c>
      <c r="AJ29">
        <v>1</v>
      </c>
      <c r="AK29">
        <v>1</v>
      </c>
      <c r="AL29">
        <v>1</v>
      </c>
      <c r="AN29">
        <v>0</v>
      </c>
      <c r="AO29">
        <v>1</v>
      </c>
      <c r="AP29">
        <v>1</v>
      </c>
      <c r="AQ29">
        <v>0</v>
      </c>
      <c r="AR29">
        <v>0</v>
      </c>
      <c r="AS29" t="s">
        <v>3</v>
      </c>
      <c r="AT29">
        <v>82.5</v>
      </c>
      <c r="AU29" t="s">
        <v>3</v>
      </c>
      <c r="AV29">
        <v>1</v>
      </c>
      <c r="AW29">
        <v>2</v>
      </c>
      <c r="AX29">
        <v>59268058</v>
      </c>
      <c r="AY29">
        <v>1</v>
      </c>
      <c r="AZ29">
        <v>0</v>
      </c>
      <c r="BA29">
        <v>27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X29">
        <f>ROUND(Y29*Source!I74,9)</f>
        <v>5.7750000000000004</v>
      </c>
      <c r="CY29">
        <f>AD29</f>
        <v>0</v>
      </c>
      <c r="CZ29">
        <f>AH29</f>
        <v>0</v>
      </c>
      <c r="DA29">
        <f>AL29</f>
        <v>1</v>
      </c>
      <c r="DB29">
        <f t="shared" si="6"/>
        <v>0</v>
      </c>
      <c r="DC29">
        <f t="shared" si="7"/>
        <v>0</v>
      </c>
      <c r="DD29" t="s">
        <v>3</v>
      </c>
      <c r="DE29" t="s">
        <v>3</v>
      </c>
      <c r="DF29">
        <f>ROUND(AE29*CX29,2)</f>
        <v>0</v>
      </c>
      <c r="DG29">
        <f>ROUND(AF29*CX29,2)</f>
        <v>0</v>
      </c>
      <c r="DH29">
        <f>ROUND(AG29*CX29,2)</f>
        <v>0</v>
      </c>
      <c r="DI29">
        <f t="shared" si="1"/>
        <v>0</v>
      </c>
      <c r="DJ29">
        <f>DI29</f>
        <v>0</v>
      </c>
      <c r="DK29">
        <v>0</v>
      </c>
    </row>
    <row r="30" spans="1:115" x14ac:dyDescent="0.2">
      <c r="A30">
        <f>ROW(Source!A74)</f>
        <v>74</v>
      </c>
      <c r="B30">
        <v>59267179</v>
      </c>
      <c r="C30">
        <v>59268053</v>
      </c>
      <c r="D30">
        <v>30596074</v>
      </c>
      <c r="E30">
        <v>1</v>
      </c>
      <c r="F30">
        <v>1</v>
      </c>
      <c r="G30">
        <v>30515945</v>
      </c>
      <c r="H30">
        <v>2</v>
      </c>
      <c r="I30" t="s">
        <v>286</v>
      </c>
      <c r="J30" t="s">
        <v>287</v>
      </c>
      <c r="K30" t="s">
        <v>288</v>
      </c>
      <c r="L30">
        <v>1368</v>
      </c>
      <c r="N30">
        <v>1011</v>
      </c>
      <c r="O30" t="s">
        <v>289</v>
      </c>
      <c r="P30" t="s">
        <v>289</v>
      </c>
      <c r="Q30">
        <v>1</v>
      </c>
      <c r="W30">
        <v>0</v>
      </c>
      <c r="X30">
        <v>-2098595084</v>
      </c>
      <c r="Y30">
        <f t="shared" si="5"/>
        <v>3.78</v>
      </c>
      <c r="AA30">
        <v>0</v>
      </c>
      <c r="AB30">
        <v>903.39</v>
      </c>
      <c r="AC30">
        <v>447.52</v>
      </c>
      <c r="AD30">
        <v>0</v>
      </c>
      <c r="AE30">
        <v>0</v>
      </c>
      <c r="AF30">
        <v>76.81</v>
      </c>
      <c r="AG30">
        <v>14.36</v>
      </c>
      <c r="AH30">
        <v>0</v>
      </c>
      <c r="AI30">
        <v>1</v>
      </c>
      <c r="AJ30">
        <v>10.82</v>
      </c>
      <c r="AK30">
        <v>28.67</v>
      </c>
      <c r="AL30">
        <v>1</v>
      </c>
      <c r="AN30">
        <v>0</v>
      </c>
      <c r="AO30">
        <v>1</v>
      </c>
      <c r="AP30">
        <v>1</v>
      </c>
      <c r="AQ30">
        <v>0</v>
      </c>
      <c r="AR30">
        <v>0</v>
      </c>
      <c r="AS30" t="s">
        <v>3</v>
      </c>
      <c r="AT30">
        <v>3.78</v>
      </c>
      <c r="AU30" t="s">
        <v>3</v>
      </c>
      <c r="AV30">
        <v>0</v>
      </c>
      <c r="AW30">
        <v>2</v>
      </c>
      <c r="AX30">
        <v>59268059</v>
      </c>
      <c r="AY30">
        <v>1</v>
      </c>
      <c r="AZ30">
        <v>0</v>
      </c>
      <c r="BA30">
        <v>28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X30">
        <f>ROUND(Y30*Source!I74,9)</f>
        <v>0.2646</v>
      </c>
      <c r="CY30">
        <f>AB30</f>
        <v>903.39</v>
      </c>
      <c r="CZ30">
        <f>AF30</f>
        <v>76.81</v>
      </c>
      <c r="DA30">
        <f>AJ30</f>
        <v>10.82</v>
      </c>
      <c r="DB30">
        <f t="shared" si="6"/>
        <v>290.33999999999997</v>
      </c>
      <c r="DC30">
        <f t="shared" si="7"/>
        <v>54.28</v>
      </c>
      <c r="DD30" t="s">
        <v>3</v>
      </c>
      <c r="DE30" t="s">
        <v>3</v>
      </c>
      <c r="DF30">
        <f>ROUND(AE30*CX30,2)</f>
        <v>0</v>
      </c>
      <c r="DG30">
        <f>ROUND(ROUND(AF30*CX30,2)*AJ30,2)</f>
        <v>219.86</v>
      </c>
      <c r="DH30">
        <f>ROUND(ROUND(AG30*CX30,2)*AK30,2)</f>
        <v>108.95</v>
      </c>
      <c r="DI30">
        <f t="shared" si="1"/>
        <v>0</v>
      </c>
      <c r="DJ30">
        <f>DG30</f>
        <v>219.86</v>
      </c>
      <c r="DK30">
        <v>0</v>
      </c>
    </row>
    <row r="31" spans="1:115" x14ac:dyDescent="0.2">
      <c r="A31">
        <f>ROW(Source!A74)</f>
        <v>74</v>
      </c>
      <c r="B31">
        <v>59267179</v>
      </c>
      <c r="C31">
        <v>59268053</v>
      </c>
      <c r="D31">
        <v>55357527</v>
      </c>
      <c r="E31">
        <v>1</v>
      </c>
      <c r="F31">
        <v>1</v>
      </c>
      <c r="G31">
        <v>30515945</v>
      </c>
      <c r="H31">
        <v>2</v>
      </c>
      <c r="I31" t="s">
        <v>290</v>
      </c>
      <c r="J31" t="s">
        <v>291</v>
      </c>
      <c r="K31" t="s">
        <v>292</v>
      </c>
      <c r="L31">
        <v>1368</v>
      </c>
      <c r="N31">
        <v>1011</v>
      </c>
      <c r="O31" t="s">
        <v>289</v>
      </c>
      <c r="P31" t="s">
        <v>289</v>
      </c>
      <c r="Q31">
        <v>1</v>
      </c>
      <c r="W31">
        <v>0</v>
      </c>
      <c r="X31">
        <v>1393056809</v>
      </c>
      <c r="Y31">
        <f t="shared" si="5"/>
        <v>2.2200000000000002</v>
      </c>
      <c r="AA31">
        <v>0</v>
      </c>
      <c r="AB31">
        <v>1799.31</v>
      </c>
      <c r="AC31">
        <v>470.89</v>
      </c>
      <c r="AD31">
        <v>0</v>
      </c>
      <c r="AE31">
        <v>0</v>
      </c>
      <c r="AF31">
        <v>165.53</v>
      </c>
      <c r="AG31">
        <v>15.11</v>
      </c>
      <c r="AH31">
        <v>0</v>
      </c>
      <c r="AI31">
        <v>1</v>
      </c>
      <c r="AJ31">
        <v>10</v>
      </c>
      <c r="AK31">
        <v>28.67</v>
      </c>
      <c r="AL31">
        <v>1</v>
      </c>
      <c r="AN31">
        <v>0</v>
      </c>
      <c r="AO31">
        <v>1</v>
      </c>
      <c r="AP31">
        <v>1</v>
      </c>
      <c r="AQ31">
        <v>0</v>
      </c>
      <c r="AR31">
        <v>0</v>
      </c>
      <c r="AS31" t="s">
        <v>3</v>
      </c>
      <c r="AT31">
        <v>2.2200000000000002</v>
      </c>
      <c r="AU31" t="s">
        <v>3</v>
      </c>
      <c r="AV31">
        <v>0</v>
      </c>
      <c r="AW31">
        <v>2</v>
      </c>
      <c r="AX31">
        <v>59268060</v>
      </c>
      <c r="AY31">
        <v>1</v>
      </c>
      <c r="AZ31">
        <v>0</v>
      </c>
      <c r="BA31">
        <v>29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X31">
        <f>ROUND(Y31*Source!I74,9)</f>
        <v>0.15540000000000001</v>
      </c>
      <c r="CY31">
        <f>AB31</f>
        <v>1799.31</v>
      </c>
      <c r="CZ31">
        <f>AF31</f>
        <v>165.53</v>
      </c>
      <c r="DA31">
        <f>AJ31</f>
        <v>10</v>
      </c>
      <c r="DB31">
        <f t="shared" si="6"/>
        <v>367.48</v>
      </c>
      <c r="DC31">
        <f t="shared" si="7"/>
        <v>33.54</v>
      </c>
      <c r="DD31" t="s">
        <v>3</v>
      </c>
      <c r="DE31" t="s">
        <v>3</v>
      </c>
      <c r="DF31">
        <f>ROUND(AE31*CX31,2)</f>
        <v>0</v>
      </c>
      <c r="DG31">
        <f>ROUND(ROUND(AF31*CX31,2)*AJ31,2)</f>
        <v>257.2</v>
      </c>
      <c r="DH31">
        <f>ROUND(ROUND(AG31*CX31,2)*AK31,2)</f>
        <v>67.37</v>
      </c>
      <c r="DI31">
        <f t="shared" si="1"/>
        <v>0</v>
      </c>
      <c r="DJ31">
        <f>DG31</f>
        <v>257.2</v>
      </c>
      <c r="DK31">
        <v>0</v>
      </c>
    </row>
    <row r="32" spans="1:115" x14ac:dyDescent="0.2">
      <c r="A32">
        <f>ROW(Source!A74)</f>
        <v>74</v>
      </c>
      <c r="B32">
        <v>59267179</v>
      </c>
      <c r="C32">
        <v>59268053</v>
      </c>
      <c r="D32">
        <v>30590456</v>
      </c>
      <c r="E32">
        <v>1</v>
      </c>
      <c r="F32">
        <v>1</v>
      </c>
      <c r="G32">
        <v>30515945</v>
      </c>
      <c r="H32">
        <v>3</v>
      </c>
      <c r="I32" t="s">
        <v>148</v>
      </c>
      <c r="J32" t="s">
        <v>150</v>
      </c>
      <c r="K32" t="s">
        <v>149</v>
      </c>
      <c r="L32">
        <v>1339</v>
      </c>
      <c r="N32">
        <v>1007</v>
      </c>
      <c r="O32" t="s">
        <v>135</v>
      </c>
      <c r="P32" t="s">
        <v>135</v>
      </c>
      <c r="Q32">
        <v>1</v>
      </c>
      <c r="W32">
        <v>0</v>
      </c>
      <c r="X32">
        <v>114858846</v>
      </c>
      <c r="Y32">
        <f t="shared" si="5"/>
        <v>37.028570999999999</v>
      </c>
      <c r="AA32">
        <v>10135.549999999999</v>
      </c>
      <c r="AB32">
        <v>0</v>
      </c>
      <c r="AC32">
        <v>0</v>
      </c>
      <c r="AD32">
        <v>0</v>
      </c>
      <c r="AE32">
        <v>683.71</v>
      </c>
      <c r="AF32">
        <v>0</v>
      </c>
      <c r="AG32">
        <v>0</v>
      </c>
      <c r="AH32">
        <v>0</v>
      </c>
      <c r="AI32">
        <v>14.78</v>
      </c>
      <c r="AJ32">
        <v>1</v>
      </c>
      <c r="AK32">
        <v>1</v>
      </c>
      <c r="AL32">
        <v>1</v>
      </c>
      <c r="AN32">
        <v>0</v>
      </c>
      <c r="AO32">
        <v>0</v>
      </c>
      <c r="AP32">
        <v>0</v>
      </c>
      <c r="AQ32">
        <v>0</v>
      </c>
      <c r="AR32">
        <v>0</v>
      </c>
      <c r="AS32" t="s">
        <v>3</v>
      </c>
      <c r="AT32">
        <v>37.028570999999999</v>
      </c>
      <c r="AU32" t="s">
        <v>3</v>
      </c>
      <c r="AV32">
        <v>0</v>
      </c>
      <c r="AW32">
        <v>1</v>
      </c>
      <c r="AX32">
        <v>-1</v>
      </c>
      <c r="AY32">
        <v>0</v>
      </c>
      <c r="AZ32">
        <v>0</v>
      </c>
      <c r="BA32" t="s">
        <v>3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X32">
        <f>ROUND(Y32*Source!I74,9)</f>
        <v>2.5919999699999998</v>
      </c>
      <c r="CY32">
        <f>AA32</f>
        <v>10135.549999999999</v>
      </c>
      <c r="CZ32">
        <f>AE32</f>
        <v>683.71</v>
      </c>
      <c r="DA32">
        <f>AI32</f>
        <v>14.78</v>
      </c>
      <c r="DB32">
        <f t="shared" si="6"/>
        <v>25316.799999999999</v>
      </c>
      <c r="DC32">
        <f t="shared" si="7"/>
        <v>0</v>
      </c>
      <c r="DD32" t="s">
        <v>3</v>
      </c>
      <c r="DE32" t="s">
        <v>3</v>
      </c>
      <c r="DF32">
        <f>ROUND(ROUND(AE32*CX32,2)*AI32,2)</f>
        <v>26192.82</v>
      </c>
      <c r="DG32">
        <f>ROUND(AF32*CX32,2)</f>
        <v>0</v>
      </c>
      <c r="DH32">
        <f>ROUND(AG32*CX32,2)</f>
        <v>0</v>
      </c>
      <c r="DI32">
        <f t="shared" si="1"/>
        <v>0</v>
      </c>
      <c r="DJ32">
        <f>DF32</f>
        <v>26192.82</v>
      </c>
      <c r="DK32">
        <v>0</v>
      </c>
    </row>
    <row r="33" spans="1:115" x14ac:dyDescent="0.2">
      <c r="A33">
        <f>ROW(Source!A74)</f>
        <v>74</v>
      </c>
      <c r="B33">
        <v>59267179</v>
      </c>
      <c r="C33">
        <v>59268053</v>
      </c>
      <c r="D33">
        <v>30532717</v>
      </c>
      <c r="E33">
        <v>30515945</v>
      </c>
      <c r="F33">
        <v>1</v>
      </c>
      <c r="G33">
        <v>30515945</v>
      </c>
      <c r="H33">
        <v>3</v>
      </c>
      <c r="I33" t="s">
        <v>293</v>
      </c>
      <c r="J33" t="s">
        <v>3</v>
      </c>
      <c r="K33" t="s">
        <v>294</v>
      </c>
      <c r="L33">
        <v>1354</v>
      </c>
      <c r="N33">
        <v>1010</v>
      </c>
      <c r="O33" t="s">
        <v>208</v>
      </c>
      <c r="P33" t="s">
        <v>208</v>
      </c>
      <c r="Q33">
        <v>1</v>
      </c>
      <c r="W33">
        <v>0</v>
      </c>
      <c r="X33">
        <v>57302338</v>
      </c>
      <c r="Y33">
        <f t="shared" si="5"/>
        <v>100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N33">
        <v>0</v>
      </c>
      <c r="AO33">
        <v>0</v>
      </c>
      <c r="AP33">
        <v>1</v>
      </c>
      <c r="AQ33">
        <v>0</v>
      </c>
      <c r="AR33">
        <v>0</v>
      </c>
      <c r="AS33" t="s">
        <v>3</v>
      </c>
      <c r="AT33">
        <v>100</v>
      </c>
      <c r="AU33" t="s">
        <v>3</v>
      </c>
      <c r="AV33">
        <v>0</v>
      </c>
      <c r="AW33">
        <v>2</v>
      </c>
      <c r="AX33">
        <v>59268061</v>
      </c>
      <c r="AY33">
        <v>1</v>
      </c>
      <c r="AZ33">
        <v>0</v>
      </c>
      <c r="BA33">
        <v>30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X33">
        <f>ROUND(Y33*Source!I74,9)</f>
        <v>7</v>
      </c>
      <c r="CY33">
        <f>AA33</f>
        <v>0</v>
      </c>
      <c r="CZ33">
        <f>AE33</f>
        <v>0</v>
      </c>
      <c r="DA33">
        <f>AI33</f>
        <v>1</v>
      </c>
      <c r="DB33">
        <f t="shared" si="6"/>
        <v>0</v>
      </c>
      <c r="DC33">
        <f t="shared" si="7"/>
        <v>0</v>
      </c>
      <c r="DD33" t="s">
        <v>3</v>
      </c>
      <c r="DE33" t="s">
        <v>3</v>
      </c>
      <c r="DF33">
        <f>ROUND(AE33*CX33,2)</f>
        <v>0</v>
      </c>
      <c r="DG33">
        <f>ROUND(AF33*CX33,2)</f>
        <v>0</v>
      </c>
      <c r="DH33">
        <f>ROUND(AG33*CX33,2)</f>
        <v>0</v>
      </c>
      <c r="DI33">
        <f t="shared" ref="DI33:DI66" si="8">ROUND(AH33*CX33,2)</f>
        <v>0</v>
      </c>
      <c r="DJ33">
        <f>DF33</f>
        <v>0</v>
      </c>
      <c r="DK33">
        <v>0</v>
      </c>
    </row>
    <row r="34" spans="1:115" x14ac:dyDescent="0.2">
      <c r="A34">
        <f>ROW(Source!A76)</f>
        <v>76</v>
      </c>
      <c r="B34">
        <v>59267179</v>
      </c>
      <c r="C34">
        <v>59271566</v>
      </c>
      <c r="D34">
        <v>30515951</v>
      </c>
      <c r="E34">
        <v>30515945</v>
      </c>
      <c r="F34">
        <v>1</v>
      </c>
      <c r="G34">
        <v>30515945</v>
      </c>
      <c r="H34">
        <v>1</v>
      </c>
      <c r="I34" t="s">
        <v>283</v>
      </c>
      <c r="J34" t="s">
        <v>3</v>
      </c>
      <c r="K34" t="s">
        <v>284</v>
      </c>
      <c r="L34">
        <v>1191</v>
      </c>
      <c r="N34">
        <v>1013</v>
      </c>
      <c r="O34" t="s">
        <v>285</v>
      </c>
      <c r="P34" t="s">
        <v>285</v>
      </c>
      <c r="Q34">
        <v>1</v>
      </c>
      <c r="W34">
        <v>0</v>
      </c>
      <c r="X34">
        <v>476480486</v>
      </c>
      <c r="Y34">
        <f t="shared" si="5"/>
        <v>42.7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1</v>
      </c>
      <c r="AJ34">
        <v>1</v>
      </c>
      <c r="AK34">
        <v>1</v>
      </c>
      <c r="AL34">
        <v>1</v>
      </c>
      <c r="AN34">
        <v>0</v>
      </c>
      <c r="AO34">
        <v>1</v>
      </c>
      <c r="AP34">
        <v>1</v>
      </c>
      <c r="AQ34">
        <v>0</v>
      </c>
      <c r="AR34">
        <v>0</v>
      </c>
      <c r="AS34" t="s">
        <v>3</v>
      </c>
      <c r="AT34">
        <v>42.7</v>
      </c>
      <c r="AU34" t="s">
        <v>3</v>
      </c>
      <c r="AV34">
        <v>1</v>
      </c>
      <c r="AW34">
        <v>2</v>
      </c>
      <c r="AX34">
        <v>59271578</v>
      </c>
      <c r="AY34">
        <v>1</v>
      </c>
      <c r="AZ34">
        <v>0</v>
      </c>
      <c r="BA34">
        <v>31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X34">
        <f>ROUND(Y34*Source!I76,9)</f>
        <v>2.7755000000000001</v>
      </c>
      <c r="CY34">
        <f>AD34</f>
        <v>0</v>
      </c>
      <c r="CZ34">
        <f>AH34</f>
        <v>0</v>
      </c>
      <c r="DA34">
        <f>AL34</f>
        <v>1</v>
      </c>
      <c r="DB34">
        <f t="shared" si="6"/>
        <v>0</v>
      </c>
      <c r="DC34">
        <f t="shared" si="7"/>
        <v>0</v>
      </c>
      <c r="DD34" t="s">
        <v>3</v>
      </c>
      <c r="DE34" t="s">
        <v>3</v>
      </c>
      <c r="DF34">
        <f>ROUND(AE34*CX34,2)</f>
        <v>0</v>
      </c>
      <c r="DG34">
        <f>ROUND(AF34*CX34,2)</f>
        <v>0</v>
      </c>
      <c r="DH34">
        <f>ROUND(AG34*CX34,2)</f>
        <v>0</v>
      </c>
      <c r="DI34">
        <f t="shared" si="8"/>
        <v>0</v>
      </c>
      <c r="DJ34">
        <f>DI34</f>
        <v>0</v>
      </c>
      <c r="DK34">
        <v>0</v>
      </c>
    </row>
    <row r="35" spans="1:115" x14ac:dyDescent="0.2">
      <c r="A35">
        <f>ROW(Source!A76)</f>
        <v>76</v>
      </c>
      <c r="B35">
        <v>59267179</v>
      </c>
      <c r="C35">
        <v>59271566</v>
      </c>
      <c r="D35">
        <v>30595787</v>
      </c>
      <c r="E35">
        <v>1</v>
      </c>
      <c r="F35">
        <v>1</v>
      </c>
      <c r="G35">
        <v>30515945</v>
      </c>
      <c r="H35">
        <v>2</v>
      </c>
      <c r="I35" t="s">
        <v>295</v>
      </c>
      <c r="J35" t="s">
        <v>296</v>
      </c>
      <c r="K35" t="s">
        <v>297</v>
      </c>
      <c r="L35">
        <v>1368</v>
      </c>
      <c r="N35">
        <v>1011</v>
      </c>
      <c r="O35" t="s">
        <v>289</v>
      </c>
      <c r="P35" t="s">
        <v>289</v>
      </c>
      <c r="Q35">
        <v>1</v>
      </c>
      <c r="W35">
        <v>0</v>
      </c>
      <c r="X35">
        <v>358166613</v>
      </c>
      <c r="Y35">
        <f t="shared" si="5"/>
        <v>18.32</v>
      </c>
      <c r="AA35">
        <v>0</v>
      </c>
      <c r="AB35">
        <v>55.16</v>
      </c>
      <c r="AC35">
        <v>0</v>
      </c>
      <c r="AD35">
        <v>0</v>
      </c>
      <c r="AE35">
        <v>0</v>
      </c>
      <c r="AF35">
        <v>4.8600000000000003</v>
      </c>
      <c r="AG35">
        <v>0</v>
      </c>
      <c r="AH35">
        <v>0</v>
      </c>
      <c r="AI35">
        <v>1</v>
      </c>
      <c r="AJ35">
        <v>10.84</v>
      </c>
      <c r="AK35">
        <v>28.67</v>
      </c>
      <c r="AL35">
        <v>1</v>
      </c>
      <c r="AN35">
        <v>0</v>
      </c>
      <c r="AO35">
        <v>1</v>
      </c>
      <c r="AP35">
        <v>1</v>
      </c>
      <c r="AQ35">
        <v>0</v>
      </c>
      <c r="AR35">
        <v>0</v>
      </c>
      <c r="AS35" t="s">
        <v>3</v>
      </c>
      <c r="AT35">
        <v>18.32</v>
      </c>
      <c r="AU35" t="s">
        <v>3</v>
      </c>
      <c r="AV35">
        <v>0</v>
      </c>
      <c r="AW35">
        <v>2</v>
      </c>
      <c r="AX35">
        <v>59271579</v>
      </c>
      <c r="AY35">
        <v>1</v>
      </c>
      <c r="AZ35">
        <v>0</v>
      </c>
      <c r="BA35">
        <v>32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X35">
        <f>ROUND(Y35*Source!I76,9)</f>
        <v>1.1908000000000001</v>
      </c>
      <c r="CY35">
        <f>AB35</f>
        <v>55.16</v>
      </c>
      <c r="CZ35">
        <f>AF35</f>
        <v>4.8600000000000003</v>
      </c>
      <c r="DA35">
        <f>AJ35</f>
        <v>10.84</v>
      </c>
      <c r="DB35">
        <f t="shared" si="6"/>
        <v>89.04</v>
      </c>
      <c r="DC35">
        <f t="shared" si="7"/>
        <v>0</v>
      </c>
      <c r="DD35" t="s">
        <v>3</v>
      </c>
      <c r="DE35" t="s">
        <v>3</v>
      </c>
      <c r="DF35">
        <f>ROUND(AE35*CX35,2)</f>
        <v>0</v>
      </c>
      <c r="DG35">
        <f>ROUND(ROUND(AF35*CX35,2)*AJ35,2)</f>
        <v>62.76</v>
      </c>
      <c r="DH35">
        <f>ROUND(ROUND(AG35*CX35,2)*AK35,2)</f>
        <v>0</v>
      </c>
      <c r="DI35">
        <f t="shared" si="8"/>
        <v>0</v>
      </c>
      <c r="DJ35">
        <f>DG35</f>
        <v>62.76</v>
      </c>
      <c r="DK35">
        <v>0</v>
      </c>
    </row>
    <row r="36" spans="1:115" x14ac:dyDescent="0.2">
      <c r="A36">
        <f>ROW(Source!A76)</f>
        <v>76</v>
      </c>
      <c r="B36">
        <v>59267179</v>
      </c>
      <c r="C36">
        <v>59271566</v>
      </c>
      <c r="D36">
        <v>30596074</v>
      </c>
      <c r="E36">
        <v>1</v>
      </c>
      <c r="F36">
        <v>1</v>
      </c>
      <c r="G36">
        <v>30515945</v>
      </c>
      <c r="H36">
        <v>2</v>
      </c>
      <c r="I36" t="s">
        <v>286</v>
      </c>
      <c r="J36" t="s">
        <v>287</v>
      </c>
      <c r="K36" t="s">
        <v>288</v>
      </c>
      <c r="L36">
        <v>1368</v>
      </c>
      <c r="N36">
        <v>1011</v>
      </c>
      <c r="O36" t="s">
        <v>289</v>
      </c>
      <c r="P36" t="s">
        <v>289</v>
      </c>
      <c r="Q36">
        <v>1</v>
      </c>
      <c r="W36">
        <v>0</v>
      </c>
      <c r="X36">
        <v>-2098595084</v>
      </c>
      <c r="Y36">
        <f t="shared" si="5"/>
        <v>0.94</v>
      </c>
      <c r="AA36">
        <v>0</v>
      </c>
      <c r="AB36">
        <v>870.15</v>
      </c>
      <c r="AC36">
        <v>431.05</v>
      </c>
      <c r="AD36">
        <v>0</v>
      </c>
      <c r="AE36">
        <v>0</v>
      </c>
      <c r="AF36">
        <v>76.81</v>
      </c>
      <c r="AG36">
        <v>14.36</v>
      </c>
      <c r="AH36">
        <v>0</v>
      </c>
      <c r="AI36">
        <v>1</v>
      </c>
      <c r="AJ36">
        <v>10.82</v>
      </c>
      <c r="AK36">
        <v>28.67</v>
      </c>
      <c r="AL36">
        <v>1</v>
      </c>
      <c r="AN36">
        <v>0</v>
      </c>
      <c r="AO36">
        <v>1</v>
      </c>
      <c r="AP36">
        <v>1</v>
      </c>
      <c r="AQ36">
        <v>0</v>
      </c>
      <c r="AR36">
        <v>0</v>
      </c>
      <c r="AS36" t="s">
        <v>3</v>
      </c>
      <c r="AT36">
        <v>0.94</v>
      </c>
      <c r="AU36" t="s">
        <v>3</v>
      </c>
      <c r="AV36">
        <v>0</v>
      </c>
      <c r="AW36">
        <v>2</v>
      </c>
      <c r="AX36">
        <v>59271580</v>
      </c>
      <c r="AY36">
        <v>1</v>
      </c>
      <c r="AZ36">
        <v>0</v>
      </c>
      <c r="BA36">
        <v>33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X36">
        <f>ROUND(Y36*Source!I76,9)</f>
        <v>6.1100000000000002E-2</v>
      </c>
      <c r="CY36">
        <f>AB36</f>
        <v>870.15</v>
      </c>
      <c r="CZ36">
        <f>AF36</f>
        <v>76.81</v>
      </c>
      <c r="DA36">
        <f>AJ36</f>
        <v>10.82</v>
      </c>
      <c r="DB36">
        <f t="shared" si="6"/>
        <v>72.2</v>
      </c>
      <c r="DC36">
        <f t="shared" si="7"/>
        <v>13.5</v>
      </c>
      <c r="DD36" t="s">
        <v>3</v>
      </c>
      <c r="DE36" t="s">
        <v>3</v>
      </c>
      <c r="DF36">
        <f>ROUND(AE36*CX36,2)</f>
        <v>0</v>
      </c>
      <c r="DG36">
        <f>ROUND(ROUND(AF36*CX36,2)*AJ36,2)</f>
        <v>50.75</v>
      </c>
      <c r="DH36">
        <f>ROUND(ROUND(AG36*CX36,2)*AK36,2)</f>
        <v>25.23</v>
      </c>
      <c r="DI36">
        <f t="shared" si="8"/>
        <v>0</v>
      </c>
      <c r="DJ36">
        <f>DG36</f>
        <v>50.75</v>
      </c>
      <c r="DK36">
        <v>0</v>
      </c>
    </row>
    <row r="37" spans="1:115" x14ac:dyDescent="0.2">
      <c r="A37">
        <f>ROW(Source!A76)</f>
        <v>76</v>
      </c>
      <c r="B37">
        <v>59267179</v>
      </c>
      <c r="C37">
        <v>59271566</v>
      </c>
      <c r="D37">
        <v>30572056</v>
      </c>
      <c r="E37">
        <v>1</v>
      </c>
      <c r="F37">
        <v>1</v>
      </c>
      <c r="G37">
        <v>30515945</v>
      </c>
      <c r="H37">
        <v>3</v>
      </c>
      <c r="I37" t="s">
        <v>154</v>
      </c>
      <c r="J37" t="s">
        <v>156</v>
      </c>
      <c r="K37" t="s">
        <v>155</v>
      </c>
      <c r="L37">
        <v>1348</v>
      </c>
      <c r="N37">
        <v>1009</v>
      </c>
      <c r="O37" t="s">
        <v>64</v>
      </c>
      <c r="P37" t="s">
        <v>64</v>
      </c>
      <c r="Q37">
        <v>1000</v>
      </c>
      <c r="W37">
        <v>0</v>
      </c>
      <c r="X37">
        <v>-317801489</v>
      </c>
      <c r="Y37">
        <f t="shared" si="5"/>
        <v>1</v>
      </c>
      <c r="AA37">
        <v>24504.09</v>
      </c>
      <c r="AB37">
        <v>0</v>
      </c>
      <c r="AC37">
        <v>0</v>
      </c>
      <c r="AD37">
        <v>0</v>
      </c>
      <c r="AE37">
        <v>7879.13</v>
      </c>
      <c r="AF37">
        <v>0</v>
      </c>
      <c r="AG37">
        <v>0</v>
      </c>
      <c r="AH37">
        <v>0</v>
      </c>
      <c r="AI37">
        <v>3.11</v>
      </c>
      <c r="AJ37">
        <v>1</v>
      </c>
      <c r="AK37">
        <v>1</v>
      </c>
      <c r="AL37">
        <v>1</v>
      </c>
      <c r="AN37">
        <v>0</v>
      </c>
      <c r="AO37">
        <v>0</v>
      </c>
      <c r="AP37">
        <v>0</v>
      </c>
      <c r="AQ37">
        <v>0</v>
      </c>
      <c r="AR37">
        <v>0</v>
      </c>
      <c r="AS37" t="s">
        <v>3</v>
      </c>
      <c r="AT37">
        <v>1</v>
      </c>
      <c r="AU37" t="s">
        <v>3</v>
      </c>
      <c r="AV37">
        <v>0</v>
      </c>
      <c r="AW37">
        <v>1</v>
      </c>
      <c r="AX37">
        <v>-1</v>
      </c>
      <c r="AY37">
        <v>0</v>
      </c>
      <c r="AZ37">
        <v>0</v>
      </c>
      <c r="BA37" t="s">
        <v>3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X37">
        <f>ROUND(Y37*Source!I76,9)</f>
        <v>6.5000000000000002E-2</v>
      </c>
      <c r="CY37">
        <f>AA37</f>
        <v>24504.09</v>
      </c>
      <c r="CZ37">
        <f>AE37</f>
        <v>7879.13</v>
      </c>
      <c r="DA37">
        <f>AI37</f>
        <v>3.11</v>
      </c>
      <c r="DB37">
        <f t="shared" si="6"/>
        <v>7879.13</v>
      </c>
      <c r="DC37">
        <f t="shared" si="7"/>
        <v>0</v>
      </c>
      <c r="DD37" t="s">
        <v>3</v>
      </c>
      <c r="DE37" t="s">
        <v>3</v>
      </c>
      <c r="DF37">
        <f>ROUND(ROUND(AE37*CX37,2)*AI37,2)</f>
        <v>1592.76</v>
      </c>
      <c r="DG37">
        <f>ROUND(AF37*CX37,2)</f>
        <v>0</v>
      </c>
      <c r="DH37">
        <f>ROUND(AG37*CX37,2)</f>
        <v>0</v>
      </c>
      <c r="DI37">
        <f t="shared" si="8"/>
        <v>0</v>
      </c>
      <c r="DJ37">
        <f>DF37</f>
        <v>1592.76</v>
      </c>
      <c r="DK37">
        <v>0</v>
      </c>
    </row>
    <row r="38" spans="1:115" x14ac:dyDescent="0.2">
      <c r="A38">
        <f>ROW(Source!A76)</f>
        <v>76</v>
      </c>
      <c r="B38">
        <v>59267179</v>
      </c>
      <c r="C38">
        <v>59271566</v>
      </c>
      <c r="D38">
        <v>30572493</v>
      </c>
      <c r="E38">
        <v>1</v>
      </c>
      <c r="F38">
        <v>1</v>
      </c>
      <c r="G38">
        <v>30515945</v>
      </c>
      <c r="H38">
        <v>3</v>
      </c>
      <c r="I38" t="s">
        <v>298</v>
      </c>
      <c r="J38" t="s">
        <v>299</v>
      </c>
      <c r="K38" t="s">
        <v>300</v>
      </c>
      <c r="L38">
        <v>1348</v>
      </c>
      <c r="N38">
        <v>1009</v>
      </c>
      <c r="O38" t="s">
        <v>64</v>
      </c>
      <c r="P38" t="s">
        <v>64</v>
      </c>
      <c r="Q38">
        <v>1000</v>
      </c>
      <c r="W38">
        <v>0</v>
      </c>
      <c r="X38">
        <v>1310716689</v>
      </c>
      <c r="Y38">
        <f t="shared" si="5"/>
        <v>0.04</v>
      </c>
      <c r="AA38">
        <v>120103.23</v>
      </c>
      <c r="AB38">
        <v>0</v>
      </c>
      <c r="AC38">
        <v>0</v>
      </c>
      <c r="AD38">
        <v>0</v>
      </c>
      <c r="AE38">
        <v>7191.81</v>
      </c>
      <c r="AF38">
        <v>0</v>
      </c>
      <c r="AG38">
        <v>0</v>
      </c>
      <c r="AH38">
        <v>0</v>
      </c>
      <c r="AI38">
        <v>16.7</v>
      </c>
      <c r="AJ38">
        <v>1</v>
      </c>
      <c r="AK38">
        <v>1</v>
      </c>
      <c r="AL38">
        <v>1</v>
      </c>
      <c r="AN38">
        <v>0</v>
      </c>
      <c r="AO38">
        <v>1</v>
      </c>
      <c r="AP38">
        <v>1</v>
      </c>
      <c r="AQ38">
        <v>0</v>
      </c>
      <c r="AR38">
        <v>0</v>
      </c>
      <c r="AS38" t="s">
        <v>3</v>
      </c>
      <c r="AT38">
        <v>0.04</v>
      </c>
      <c r="AU38" t="s">
        <v>3</v>
      </c>
      <c r="AV38">
        <v>0</v>
      </c>
      <c r="AW38">
        <v>2</v>
      </c>
      <c r="AX38">
        <v>59271581</v>
      </c>
      <c r="AY38">
        <v>1</v>
      </c>
      <c r="AZ38">
        <v>0</v>
      </c>
      <c r="BA38">
        <v>34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X38">
        <f>ROUND(Y38*Source!I76,9)</f>
        <v>2.5999999999999999E-3</v>
      </c>
      <c r="CY38">
        <f>AA38</f>
        <v>120103.23</v>
      </c>
      <c r="CZ38">
        <f>AE38</f>
        <v>7191.81</v>
      </c>
      <c r="DA38">
        <f>AI38</f>
        <v>16.7</v>
      </c>
      <c r="DB38">
        <f t="shared" si="6"/>
        <v>287.67</v>
      </c>
      <c r="DC38">
        <f t="shared" si="7"/>
        <v>0</v>
      </c>
      <c r="DD38" t="s">
        <v>3</v>
      </c>
      <c r="DE38" t="s">
        <v>3</v>
      </c>
      <c r="DF38">
        <f>ROUND(ROUND(AE38*CX38,2)*AI38,2)</f>
        <v>312.29000000000002</v>
      </c>
      <c r="DG38">
        <f>ROUND(AF38*CX38,2)</f>
        <v>0</v>
      </c>
      <c r="DH38">
        <f>ROUND(AG38*CX38,2)</f>
        <v>0</v>
      </c>
      <c r="DI38">
        <f t="shared" si="8"/>
        <v>0</v>
      </c>
      <c r="DJ38">
        <f>DF38</f>
        <v>312.29000000000002</v>
      </c>
      <c r="DK38">
        <v>0</v>
      </c>
    </row>
    <row r="39" spans="1:115" x14ac:dyDescent="0.2">
      <c r="A39">
        <f>ROW(Source!A76)</f>
        <v>76</v>
      </c>
      <c r="B39">
        <v>59267179</v>
      </c>
      <c r="C39">
        <v>59271566</v>
      </c>
      <c r="D39">
        <v>30537000</v>
      </c>
      <c r="E39">
        <v>30515945</v>
      </c>
      <c r="F39">
        <v>1</v>
      </c>
      <c r="G39">
        <v>30515945</v>
      </c>
      <c r="H39">
        <v>3</v>
      </c>
      <c r="I39" t="s">
        <v>301</v>
      </c>
      <c r="J39" t="s">
        <v>3</v>
      </c>
      <c r="K39" t="s">
        <v>302</v>
      </c>
      <c r="L39">
        <v>1348</v>
      </c>
      <c r="N39">
        <v>1009</v>
      </c>
      <c r="O39" t="s">
        <v>64</v>
      </c>
      <c r="P39" t="s">
        <v>64</v>
      </c>
      <c r="Q39">
        <v>1000</v>
      </c>
      <c r="W39">
        <v>0</v>
      </c>
      <c r="X39">
        <v>-1387798565</v>
      </c>
      <c r="Y39">
        <f t="shared" si="5"/>
        <v>1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1</v>
      </c>
      <c r="AJ39">
        <v>1</v>
      </c>
      <c r="AK39">
        <v>1</v>
      </c>
      <c r="AL39">
        <v>1</v>
      </c>
      <c r="AN39">
        <v>0</v>
      </c>
      <c r="AO39">
        <v>0</v>
      </c>
      <c r="AP39">
        <v>1</v>
      </c>
      <c r="AQ39">
        <v>0</v>
      </c>
      <c r="AR39">
        <v>0</v>
      </c>
      <c r="AS39" t="s">
        <v>3</v>
      </c>
      <c r="AT39">
        <v>1</v>
      </c>
      <c r="AU39" t="s">
        <v>3</v>
      </c>
      <c r="AV39">
        <v>0</v>
      </c>
      <c r="AW39">
        <v>2</v>
      </c>
      <c r="AX39">
        <v>59271582</v>
      </c>
      <c r="AY39">
        <v>1</v>
      </c>
      <c r="AZ39">
        <v>0</v>
      </c>
      <c r="BA39">
        <v>35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X39">
        <f>ROUND(Y39*Source!I76,9)</f>
        <v>6.5000000000000002E-2</v>
      </c>
      <c r="CY39">
        <f>AA39</f>
        <v>0</v>
      </c>
      <c r="CZ39">
        <f>AE39</f>
        <v>0</v>
      </c>
      <c r="DA39">
        <f>AI39</f>
        <v>1</v>
      </c>
      <c r="DB39">
        <f t="shared" si="6"/>
        <v>0</v>
      </c>
      <c r="DC39">
        <f t="shared" si="7"/>
        <v>0</v>
      </c>
      <c r="DD39" t="s">
        <v>3</v>
      </c>
      <c r="DE39" t="s">
        <v>3</v>
      </c>
      <c r="DF39">
        <f>ROUND(AE39*CX39,2)</f>
        <v>0</v>
      </c>
      <c r="DG39">
        <f>ROUND(AF39*CX39,2)</f>
        <v>0</v>
      </c>
      <c r="DH39">
        <f>ROUND(AG39*CX39,2)</f>
        <v>0</v>
      </c>
      <c r="DI39">
        <f t="shared" si="8"/>
        <v>0</v>
      </c>
      <c r="DJ39">
        <f>DF39</f>
        <v>0</v>
      </c>
      <c r="DK39">
        <v>0</v>
      </c>
    </row>
    <row r="40" spans="1:115" x14ac:dyDescent="0.2">
      <c r="A40">
        <f>ROW(Source!A78)</f>
        <v>78</v>
      </c>
      <c r="B40">
        <v>59267179</v>
      </c>
      <c r="C40">
        <v>59272175</v>
      </c>
      <c r="D40">
        <v>30515951</v>
      </c>
      <c r="E40">
        <v>30515945</v>
      </c>
      <c r="F40">
        <v>1</v>
      </c>
      <c r="G40">
        <v>30515945</v>
      </c>
      <c r="H40">
        <v>1</v>
      </c>
      <c r="I40" t="s">
        <v>283</v>
      </c>
      <c r="J40" t="s">
        <v>3</v>
      </c>
      <c r="K40" t="s">
        <v>284</v>
      </c>
      <c r="L40">
        <v>1191</v>
      </c>
      <c r="N40">
        <v>1013</v>
      </c>
      <c r="O40" t="s">
        <v>285</v>
      </c>
      <c r="P40" t="s">
        <v>285</v>
      </c>
      <c r="Q40">
        <v>1</v>
      </c>
      <c r="W40">
        <v>0</v>
      </c>
      <c r="X40">
        <v>476480486</v>
      </c>
      <c r="Y40">
        <f t="shared" si="5"/>
        <v>7.02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1</v>
      </c>
      <c r="AJ40">
        <v>1</v>
      </c>
      <c r="AK40">
        <v>1</v>
      </c>
      <c r="AL40">
        <v>1</v>
      </c>
      <c r="AN40">
        <v>0</v>
      </c>
      <c r="AO40">
        <v>1</v>
      </c>
      <c r="AP40">
        <v>0</v>
      </c>
      <c r="AQ40">
        <v>0</v>
      </c>
      <c r="AR40">
        <v>0</v>
      </c>
      <c r="AS40" t="s">
        <v>3</v>
      </c>
      <c r="AT40">
        <v>7.02</v>
      </c>
      <c r="AU40" t="s">
        <v>3</v>
      </c>
      <c r="AV40">
        <v>1</v>
      </c>
      <c r="AW40">
        <v>2</v>
      </c>
      <c r="AX40">
        <v>59272176</v>
      </c>
      <c r="AY40">
        <v>1</v>
      </c>
      <c r="AZ40">
        <v>0</v>
      </c>
      <c r="BA40">
        <v>36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X40">
        <f>ROUND(Y40*Source!I78,9)</f>
        <v>1.3001039999999999</v>
      </c>
      <c r="CY40">
        <f>AD40</f>
        <v>0</v>
      </c>
      <c r="CZ40">
        <f>AH40</f>
        <v>0</v>
      </c>
      <c r="DA40">
        <f>AL40</f>
        <v>1</v>
      </c>
      <c r="DB40">
        <f t="shared" si="6"/>
        <v>0</v>
      </c>
      <c r="DC40">
        <f t="shared" si="7"/>
        <v>0</v>
      </c>
      <c r="DD40" t="s">
        <v>3</v>
      </c>
      <c r="DE40" t="s">
        <v>3</v>
      </c>
      <c r="DF40">
        <f>ROUND(AE40*CX40,2)</f>
        <v>0</v>
      </c>
      <c r="DG40">
        <f>ROUND(AF40*CX40,2)</f>
        <v>0</v>
      </c>
      <c r="DH40">
        <f>ROUND(AG40*CX40,2)</f>
        <v>0</v>
      </c>
      <c r="DI40">
        <f t="shared" si="8"/>
        <v>0</v>
      </c>
      <c r="DJ40">
        <f>DI40</f>
        <v>0</v>
      </c>
      <c r="DK40">
        <v>0</v>
      </c>
    </row>
    <row r="41" spans="1:115" x14ac:dyDescent="0.2">
      <c r="A41">
        <f>ROW(Source!A78)</f>
        <v>78</v>
      </c>
      <c r="B41">
        <v>59267179</v>
      </c>
      <c r="C41">
        <v>59272175</v>
      </c>
      <c r="D41">
        <v>30595538</v>
      </c>
      <c r="E41">
        <v>1</v>
      </c>
      <c r="F41">
        <v>1</v>
      </c>
      <c r="G41">
        <v>30515945</v>
      </c>
      <c r="H41">
        <v>2</v>
      </c>
      <c r="I41" t="s">
        <v>322</v>
      </c>
      <c r="J41" t="s">
        <v>323</v>
      </c>
      <c r="K41" t="s">
        <v>324</v>
      </c>
      <c r="L41">
        <v>1368</v>
      </c>
      <c r="N41">
        <v>1011</v>
      </c>
      <c r="O41" t="s">
        <v>289</v>
      </c>
      <c r="P41" t="s">
        <v>289</v>
      </c>
      <c r="Q41">
        <v>1</v>
      </c>
      <c r="W41">
        <v>0</v>
      </c>
      <c r="X41">
        <v>-1272578797</v>
      </c>
      <c r="Y41">
        <f t="shared" si="5"/>
        <v>1.27</v>
      </c>
      <c r="AA41">
        <v>0</v>
      </c>
      <c r="AB41">
        <v>215.14</v>
      </c>
      <c r="AC41">
        <v>0.87</v>
      </c>
      <c r="AD41">
        <v>0</v>
      </c>
      <c r="AE41">
        <v>0</v>
      </c>
      <c r="AF41">
        <v>21.87</v>
      </c>
      <c r="AG41">
        <v>0.03</v>
      </c>
      <c r="AH41">
        <v>0</v>
      </c>
      <c r="AI41">
        <v>1</v>
      </c>
      <c r="AJ41">
        <v>9.74</v>
      </c>
      <c r="AK41">
        <v>28.67</v>
      </c>
      <c r="AL41">
        <v>1</v>
      </c>
      <c r="AN41">
        <v>0</v>
      </c>
      <c r="AO41">
        <v>1</v>
      </c>
      <c r="AP41">
        <v>0</v>
      </c>
      <c r="AQ41">
        <v>0</v>
      </c>
      <c r="AR41">
        <v>0</v>
      </c>
      <c r="AS41" t="s">
        <v>3</v>
      </c>
      <c r="AT41">
        <v>1.27</v>
      </c>
      <c r="AU41" t="s">
        <v>3</v>
      </c>
      <c r="AV41">
        <v>0</v>
      </c>
      <c r="AW41">
        <v>2</v>
      </c>
      <c r="AX41">
        <v>59272177</v>
      </c>
      <c r="AY41">
        <v>1</v>
      </c>
      <c r="AZ41">
        <v>0</v>
      </c>
      <c r="BA41">
        <v>37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X41">
        <f>ROUND(Y41*Source!I78,9)</f>
        <v>0.235204</v>
      </c>
      <c r="CY41">
        <f>AB41</f>
        <v>215.14</v>
      </c>
      <c r="CZ41">
        <f>AF41</f>
        <v>21.87</v>
      </c>
      <c r="DA41">
        <f>AJ41</f>
        <v>9.74</v>
      </c>
      <c r="DB41">
        <f t="shared" si="6"/>
        <v>27.77</v>
      </c>
      <c r="DC41">
        <f t="shared" si="7"/>
        <v>0.04</v>
      </c>
      <c r="DD41" t="s">
        <v>3</v>
      </c>
      <c r="DE41" t="s">
        <v>3</v>
      </c>
      <c r="DF41">
        <f>ROUND(AE41*CX41,2)</f>
        <v>0</v>
      </c>
      <c r="DG41">
        <f>ROUND(ROUND(AF41*CX41,2)*AJ41,2)</f>
        <v>50.06</v>
      </c>
      <c r="DH41">
        <f>ROUND(ROUND(AG41*CX41,2)*AK41,2)</f>
        <v>0.28999999999999998</v>
      </c>
      <c r="DI41">
        <f t="shared" si="8"/>
        <v>0</v>
      </c>
      <c r="DJ41">
        <f>DG41</f>
        <v>50.06</v>
      </c>
      <c r="DK41">
        <v>0</v>
      </c>
    </row>
    <row r="42" spans="1:115" x14ac:dyDescent="0.2">
      <c r="A42">
        <f>ROW(Source!A78)</f>
        <v>78</v>
      </c>
      <c r="B42">
        <v>59267179</v>
      </c>
      <c r="C42">
        <v>59272175</v>
      </c>
      <c r="D42">
        <v>30571117</v>
      </c>
      <c r="E42">
        <v>1</v>
      </c>
      <c r="F42">
        <v>1</v>
      </c>
      <c r="G42">
        <v>30515945</v>
      </c>
      <c r="H42">
        <v>3</v>
      </c>
      <c r="I42" t="s">
        <v>325</v>
      </c>
      <c r="J42" t="s">
        <v>326</v>
      </c>
      <c r="K42" t="s">
        <v>327</v>
      </c>
      <c r="L42">
        <v>1348</v>
      </c>
      <c r="N42">
        <v>1009</v>
      </c>
      <c r="O42" t="s">
        <v>64</v>
      </c>
      <c r="P42" t="s">
        <v>64</v>
      </c>
      <c r="Q42">
        <v>1000</v>
      </c>
      <c r="W42">
        <v>0</v>
      </c>
      <c r="X42">
        <v>2109501163</v>
      </c>
      <c r="Y42">
        <f t="shared" si="5"/>
        <v>0.08</v>
      </c>
      <c r="AA42">
        <v>29586.77</v>
      </c>
      <c r="AB42">
        <v>0</v>
      </c>
      <c r="AC42">
        <v>0</v>
      </c>
      <c r="AD42">
        <v>0</v>
      </c>
      <c r="AE42">
        <v>1729.27</v>
      </c>
      <c r="AF42">
        <v>0</v>
      </c>
      <c r="AG42">
        <v>0</v>
      </c>
      <c r="AH42">
        <v>0</v>
      </c>
      <c r="AI42">
        <v>16.940000000000001</v>
      </c>
      <c r="AJ42">
        <v>1</v>
      </c>
      <c r="AK42">
        <v>1</v>
      </c>
      <c r="AL42">
        <v>1</v>
      </c>
      <c r="AN42">
        <v>0</v>
      </c>
      <c r="AO42">
        <v>1</v>
      </c>
      <c r="AP42">
        <v>0</v>
      </c>
      <c r="AQ42">
        <v>0</v>
      </c>
      <c r="AR42">
        <v>0</v>
      </c>
      <c r="AS42" t="s">
        <v>3</v>
      </c>
      <c r="AT42">
        <v>0.08</v>
      </c>
      <c r="AU42" t="s">
        <v>3</v>
      </c>
      <c r="AV42">
        <v>0</v>
      </c>
      <c r="AW42">
        <v>2</v>
      </c>
      <c r="AX42">
        <v>59272178</v>
      </c>
      <c r="AY42">
        <v>1</v>
      </c>
      <c r="AZ42">
        <v>0</v>
      </c>
      <c r="BA42">
        <v>38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X42">
        <f>ROUND(Y42*Source!I78,9)</f>
        <v>1.4815999999999999E-2</v>
      </c>
      <c r="CY42">
        <f>AA42</f>
        <v>29586.77</v>
      </c>
      <c r="CZ42">
        <f>AE42</f>
        <v>1729.27</v>
      </c>
      <c r="DA42">
        <f>AI42</f>
        <v>16.940000000000001</v>
      </c>
      <c r="DB42">
        <f t="shared" si="6"/>
        <v>138.34</v>
      </c>
      <c r="DC42">
        <f t="shared" si="7"/>
        <v>0</v>
      </c>
      <c r="DD42" t="s">
        <v>3</v>
      </c>
      <c r="DE42" t="s">
        <v>3</v>
      </c>
      <c r="DF42">
        <f>ROUND(ROUND(AE42*CX42,2)*AI42,2)</f>
        <v>434</v>
      </c>
      <c r="DG42">
        <f t="shared" ref="DG42:DG66" si="9">ROUND(AF42*CX42,2)</f>
        <v>0</v>
      </c>
      <c r="DH42">
        <f t="shared" ref="DH42:DH66" si="10">ROUND(AG42*CX42,2)</f>
        <v>0</v>
      </c>
      <c r="DI42">
        <f t="shared" si="8"/>
        <v>0</v>
      </c>
      <c r="DJ42">
        <f>DF42</f>
        <v>434</v>
      </c>
      <c r="DK42">
        <v>0</v>
      </c>
    </row>
    <row r="43" spans="1:115" x14ac:dyDescent="0.2">
      <c r="A43">
        <f>ROW(Source!A78)</f>
        <v>78</v>
      </c>
      <c r="B43">
        <v>59267179</v>
      </c>
      <c r="C43">
        <v>59272175</v>
      </c>
      <c r="D43">
        <v>30571626</v>
      </c>
      <c r="E43">
        <v>1</v>
      </c>
      <c r="F43">
        <v>1</v>
      </c>
      <c r="G43">
        <v>30515945</v>
      </c>
      <c r="H43">
        <v>3</v>
      </c>
      <c r="I43" t="s">
        <v>328</v>
      </c>
      <c r="J43" t="s">
        <v>329</v>
      </c>
      <c r="K43" t="s">
        <v>332</v>
      </c>
      <c r="L43">
        <v>1348</v>
      </c>
      <c r="N43">
        <v>1009</v>
      </c>
      <c r="O43" t="s">
        <v>64</v>
      </c>
      <c r="P43" t="s">
        <v>64</v>
      </c>
      <c r="Q43">
        <v>1000</v>
      </c>
      <c r="W43">
        <v>0</v>
      </c>
      <c r="X43">
        <v>-13356077</v>
      </c>
      <c r="Y43">
        <f t="shared" si="5"/>
        <v>1.4999999999999999E-2</v>
      </c>
      <c r="AA43">
        <v>52551.27</v>
      </c>
      <c r="AB43">
        <v>0</v>
      </c>
      <c r="AC43">
        <v>0</v>
      </c>
      <c r="AD43">
        <v>0</v>
      </c>
      <c r="AE43">
        <v>34457.589999999997</v>
      </c>
      <c r="AF43">
        <v>0</v>
      </c>
      <c r="AG43">
        <v>0</v>
      </c>
      <c r="AH43">
        <v>0</v>
      </c>
      <c r="AI43">
        <v>1.51</v>
      </c>
      <c r="AJ43">
        <v>1</v>
      </c>
      <c r="AK43">
        <v>1</v>
      </c>
      <c r="AL43">
        <v>1</v>
      </c>
      <c r="AN43">
        <v>0</v>
      </c>
      <c r="AO43">
        <v>1</v>
      </c>
      <c r="AP43">
        <v>0</v>
      </c>
      <c r="AQ43">
        <v>0</v>
      </c>
      <c r="AR43">
        <v>0</v>
      </c>
      <c r="AS43" t="s">
        <v>3</v>
      </c>
      <c r="AT43">
        <v>1.4999999999999999E-2</v>
      </c>
      <c r="AU43" t="s">
        <v>3</v>
      </c>
      <c r="AV43">
        <v>0</v>
      </c>
      <c r="AW43">
        <v>2</v>
      </c>
      <c r="AX43">
        <v>59272179</v>
      </c>
      <c r="AY43">
        <v>1</v>
      </c>
      <c r="AZ43">
        <v>0</v>
      </c>
      <c r="BA43">
        <v>39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X43">
        <f>ROUND(Y43*Source!I78,9)</f>
        <v>2.7780000000000001E-3</v>
      </c>
      <c r="CY43">
        <f>AA43</f>
        <v>52551.27</v>
      </c>
      <c r="CZ43">
        <f>AE43</f>
        <v>34457.589999999997</v>
      </c>
      <c r="DA43">
        <f>AI43</f>
        <v>1.51</v>
      </c>
      <c r="DB43">
        <f t="shared" si="6"/>
        <v>516.86</v>
      </c>
      <c r="DC43">
        <f t="shared" si="7"/>
        <v>0</v>
      </c>
      <c r="DD43" t="s">
        <v>3</v>
      </c>
      <c r="DE43" t="s">
        <v>3</v>
      </c>
      <c r="DF43">
        <f>ROUND(ROUND(AE43*CX43,2)*AI43,2)</f>
        <v>144.54</v>
      </c>
      <c r="DG43">
        <f t="shared" si="9"/>
        <v>0</v>
      </c>
      <c r="DH43">
        <f t="shared" si="10"/>
        <v>0</v>
      </c>
      <c r="DI43">
        <f t="shared" si="8"/>
        <v>0</v>
      </c>
      <c r="DJ43">
        <f>DF43</f>
        <v>144.54</v>
      </c>
      <c r="DK43">
        <v>0</v>
      </c>
    </row>
    <row r="44" spans="1:115" x14ac:dyDescent="0.2">
      <c r="A44">
        <f>ROW(Source!A80)</f>
        <v>80</v>
      </c>
      <c r="B44">
        <v>59267179</v>
      </c>
      <c r="C44">
        <v>59272129</v>
      </c>
      <c r="D44">
        <v>30515951</v>
      </c>
      <c r="E44">
        <v>30515945</v>
      </c>
      <c r="F44">
        <v>1</v>
      </c>
      <c r="G44">
        <v>30515945</v>
      </c>
      <c r="H44">
        <v>1</v>
      </c>
      <c r="I44" t="s">
        <v>283</v>
      </c>
      <c r="J44" t="s">
        <v>3</v>
      </c>
      <c r="K44" t="s">
        <v>284</v>
      </c>
      <c r="L44">
        <v>1191</v>
      </c>
      <c r="N44">
        <v>1013</v>
      </c>
      <c r="O44" t="s">
        <v>285</v>
      </c>
      <c r="P44" t="s">
        <v>285</v>
      </c>
      <c r="Q44">
        <v>1</v>
      </c>
      <c r="W44">
        <v>0</v>
      </c>
      <c r="X44">
        <v>476480486</v>
      </c>
      <c r="Y44">
        <f t="shared" ref="Y44:Y66" si="11">AT44</f>
        <v>38.1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1</v>
      </c>
      <c r="AJ44">
        <v>1</v>
      </c>
      <c r="AK44">
        <v>1</v>
      </c>
      <c r="AL44">
        <v>1</v>
      </c>
      <c r="AN44">
        <v>0</v>
      </c>
      <c r="AO44">
        <v>1</v>
      </c>
      <c r="AP44">
        <v>0</v>
      </c>
      <c r="AQ44">
        <v>0</v>
      </c>
      <c r="AR44">
        <v>0</v>
      </c>
      <c r="AS44" t="s">
        <v>3</v>
      </c>
      <c r="AT44">
        <v>38.1</v>
      </c>
      <c r="AU44" t="s">
        <v>3</v>
      </c>
      <c r="AV44">
        <v>1</v>
      </c>
      <c r="AW44">
        <v>2</v>
      </c>
      <c r="AX44">
        <v>59272130</v>
      </c>
      <c r="AY44">
        <v>1</v>
      </c>
      <c r="AZ44">
        <v>0</v>
      </c>
      <c r="BA44">
        <v>40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X44">
        <f>ROUND(Y44*Source!I80,9)</f>
        <v>38.1</v>
      </c>
      <c r="CY44">
        <f>AD44</f>
        <v>0</v>
      </c>
      <c r="CZ44">
        <f>AH44</f>
        <v>0</v>
      </c>
      <c r="DA44">
        <f>AL44</f>
        <v>1</v>
      </c>
      <c r="DB44">
        <f t="shared" ref="DB44:DB66" si="12">ROUND(ROUND(AT44*CZ44,2),6)</f>
        <v>0</v>
      </c>
      <c r="DC44">
        <f t="shared" ref="DC44:DC66" si="13">ROUND(ROUND(AT44*AG44,2),6)</f>
        <v>0</v>
      </c>
      <c r="DD44" t="s">
        <v>3</v>
      </c>
      <c r="DE44" t="s">
        <v>3</v>
      </c>
      <c r="DF44">
        <f>ROUND(AE44*CX44,2)</f>
        <v>0</v>
      </c>
      <c r="DG44">
        <f t="shared" si="9"/>
        <v>0</v>
      </c>
      <c r="DH44">
        <f t="shared" si="10"/>
        <v>0</v>
      </c>
      <c r="DI44">
        <f t="shared" si="8"/>
        <v>0</v>
      </c>
      <c r="DJ44">
        <f>DI44</f>
        <v>0</v>
      </c>
      <c r="DK44">
        <v>0</v>
      </c>
    </row>
    <row r="45" spans="1:115" x14ac:dyDescent="0.2">
      <c r="A45">
        <f>ROW(Source!A81)</f>
        <v>81</v>
      </c>
      <c r="B45">
        <v>59267179</v>
      </c>
      <c r="C45">
        <v>59272131</v>
      </c>
      <c r="D45">
        <v>30515951</v>
      </c>
      <c r="E45">
        <v>30515945</v>
      </c>
      <c r="F45">
        <v>1</v>
      </c>
      <c r="G45">
        <v>30515945</v>
      </c>
      <c r="H45">
        <v>1</v>
      </c>
      <c r="I45" t="s">
        <v>283</v>
      </c>
      <c r="J45" t="s">
        <v>3</v>
      </c>
      <c r="K45" t="s">
        <v>284</v>
      </c>
      <c r="L45">
        <v>1191</v>
      </c>
      <c r="N45">
        <v>1013</v>
      </c>
      <c r="O45" t="s">
        <v>285</v>
      </c>
      <c r="P45" t="s">
        <v>285</v>
      </c>
      <c r="Q45">
        <v>1</v>
      </c>
      <c r="W45">
        <v>0</v>
      </c>
      <c r="X45">
        <v>476480486</v>
      </c>
      <c r="Y45">
        <f t="shared" si="11"/>
        <v>27.6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1</v>
      </c>
      <c r="AJ45">
        <v>1</v>
      </c>
      <c r="AK45">
        <v>1</v>
      </c>
      <c r="AL45">
        <v>1</v>
      </c>
      <c r="AN45">
        <v>0</v>
      </c>
      <c r="AO45">
        <v>1</v>
      </c>
      <c r="AP45">
        <v>1</v>
      </c>
      <c r="AQ45">
        <v>0</v>
      </c>
      <c r="AR45">
        <v>0</v>
      </c>
      <c r="AS45" t="s">
        <v>3</v>
      </c>
      <c r="AT45">
        <v>27.6</v>
      </c>
      <c r="AU45" t="s">
        <v>3</v>
      </c>
      <c r="AV45">
        <v>1</v>
      </c>
      <c r="AW45">
        <v>2</v>
      </c>
      <c r="AX45">
        <v>59272134</v>
      </c>
      <c r="AY45">
        <v>1</v>
      </c>
      <c r="AZ45">
        <v>0</v>
      </c>
      <c r="BA45">
        <v>41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X45">
        <f>ROUND(Y45*Source!I81,9)</f>
        <v>27.6</v>
      </c>
      <c r="CY45">
        <f>AD45</f>
        <v>0</v>
      </c>
      <c r="CZ45">
        <f>AH45</f>
        <v>0</v>
      </c>
      <c r="DA45">
        <f>AL45</f>
        <v>1</v>
      </c>
      <c r="DB45">
        <f t="shared" si="12"/>
        <v>0</v>
      </c>
      <c r="DC45">
        <f t="shared" si="13"/>
        <v>0</v>
      </c>
      <c r="DD45" t="s">
        <v>3</v>
      </c>
      <c r="DE45" t="s">
        <v>3</v>
      </c>
      <c r="DF45">
        <f>ROUND(AE45*CX45,2)</f>
        <v>0</v>
      </c>
      <c r="DG45">
        <f t="shared" si="9"/>
        <v>0</v>
      </c>
      <c r="DH45">
        <f t="shared" si="10"/>
        <v>0</v>
      </c>
      <c r="DI45">
        <f t="shared" si="8"/>
        <v>0</v>
      </c>
      <c r="DJ45">
        <f>DI45</f>
        <v>0</v>
      </c>
      <c r="DK45">
        <v>0</v>
      </c>
    </row>
    <row r="46" spans="1:115" x14ac:dyDescent="0.2">
      <c r="A46">
        <f>ROW(Source!A83)</f>
        <v>83</v>
      </c>
      <c r="B46">
        <v>59267179</v>
      </c>
      <c r="C46">
        <v>59272220</v>
      </c>
      <c r="D46">
        <v>30515951</v>
      </c>
      <c r="E46">
        <v>30515945</v>
      </c>
      <c r="F46">
        <v>1</v>
      </c>
      <c r="G46">
        <v>30515945</v>
      </c>
      <c r="H46">
        <v>1</v>
      </c>
      <c r="I46" t="s">
        <v>283</v>
      </c>
      <c r="J46" t="s">
        <v>3</v>
      </c>
      <c r="K46" t="s">
        <v>284</v>
      </c>
      <c r="L46">
        <v>1191</v>
      </c>
      <c r="N46">
        <v>1013</v>
      </c>
      <c r="O46" t="s">
        <v>285</v>
      </c>
      <c r="P46" t="s">
        <v>285</v>
      </c>
      <c r="Q46">
        <v>1</v>
      </c>
      <c r="W46">
        <v>0</v>
      </c>
      <c r="X46">
        <v>476480486</v>
      </c>
      <c r="Y46">
        <f t="shared" si="11"/>
        <v>192.7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1</v>
      </c>
      <c r="AJ46">
        <v>1</v>
      </c>
      <c r="AK46">
        <v>1</v>
      </c>
      <c r="AL46">
        <v>1</v>
      </c>
      <c r="AN46">
        <v>0</v>
      </c>
      <c r="AO46">
        <v>1</v>
      </c>
      <c r="AP46">
        <v>0</v>
      </c>
      <c r="AQ46">
        <v>0</v>
      </c>
      <c r="AR46">
        <v>0</v>
      </c>
      <c r="AS46" t="s">
        <v>3</v>
      </c>
      <c r="AT46">
        <v>192.7</v>
      </c>
      <c r="AU46" t="s">
        <v>3</v>
      </c>
      <c r="AV46">
        <v>1</v>
      </c>
      <c r="AW46">
        <v>2</v>
      </c>
      <c r="AX46">
        <v>59272221</v>
      </c>
      <c r="AY46">
        <v>1</v>
      </c>
      <c r="AZ46">
        <v>0</v>
      </c>
      <c r="BA46">
        <v>42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X46">
        <f>ROUND(Y46*Source!I83,9)</f>
        <v>8.8642000000000003</v>
      </c>
      <c r="CY46">
        <f>AD46</f>
        <v>0</v>
      </c>
      <c r="CZ46">
        <f>AH46</f>
        <v>0</v>
      </c>
      <c r="DA46">
        <f>AL46</f>
        <v>1</v>
      </c>
      <c r="DB46">
        <f t="shared" si="12"/>
        <v>0</v>
      </c>
      <c r="DC46">
        <f t="shared" si="13"/>
        <v>0</v>
      </c>
      <c r="DD46" t="s">
        <v>3</v>
      </c>
      <c r="DE46" t="s">
        <v>3</v>
      </c>
      <c r="DF46">
        <f>ROUND(AE46*CX46,2)</f>
        <v>0</v>
      </c>
      <c r="DG46">
        <f t="shared" si="9"/>
        <v>0</v>
      </c>
      <c r="DH46">
        <f t="shared" si="10"/>
        <v>0</v>
      </c>
      <c r="DI46">
        <f t="shared" si="8"/>
        <v>0</v>
      </c>
      <c r="DJ46">
        <f>DI46</f>
        <v>0</v>
      </c>
      <c r="DK46">
        <v>0</v>
      </c>
    </row>
    <row r="47" spans="1:115" x14ac:dyDescent="0.2">
      <c r="A47">
        <f>ROW(Source!A84)</f>
        <v>84</v>
      </c>
      <c r="B47">
        <v>59267179</v>
      </c>
      <c r="C47">
        <v>59272224</v>
      </c>
      <c r="D47">
        <v>30515951</v>
      </c>
      <c r="E47">
        <v>30515945</v>
      </c>
      <c r="F47">
        <v>1</v>
      </c>
      <c r="G47">
        <v>30515945</v>
      </c>
      <c r="H47">
        <v>1</v>
      </c>
      <c r="I47" t="s">
        <v>283</v>
      </c>
      <c r="J47" t="s">
        <v>3</v>
      </c>
      <c r="K47" t="s">
        <v>284</v>
      </c>
      <c r="L47">
        <v>1191</v>
      </c>
      <c r="N47">
        <v>1013</v>
      </c>
      <c r="O47" t="s">
        <v>285</v>
      </c>
      <c r="P47" t="s">
        <v>285</v>
      </c>
      <c r="Q47">
        <v>1</v>
      </c>
      <c r="W47">
        <v>0</v>
      </c>
      <c r="X47">
        <v>476480486</v>
      </c>
      <c r="Y47">
        <f t="shared" si="11"/>
        <v>107.04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1</v>
      </c>
      <c r="AJ47">
        <v>1</v>
      </c>
      <c r="AK47">
        <v>1</v>
      </c>
      <c r="AL47">
        <v>1</v>
      </c>
      <c r="AN47">
        <v>0</v>
      </c>
      <c r="AO47">
        <v>1</v>
      </c>
      <c r="AP47">
        <v>0</v>
      </c>
      <c r="AQ47">
        <v>0</v>
      </c>
      <c r="AR47">
        <v>0</v>
      </c>
      <c r="AS47" t="s">
        <v>3</v>
      </c>
      <c r="AT47">
        <v>107.04</v>
      </c>
      <c r="AU47" t="s">
        <v>3</v>
      </c>
      <c r="AV47">
        <v>1</v>
      </c>
      <c r="AW47">
        <v>2</v>
      </c>
      <c r="AX47">
        <v>59272225</v>
      </c>
      <c r="AY47">
        <v>1</v>
      </c>
      <c r="AZ47">
        <v>0</v>
      </c>
      <c r="BA47">
        <v>43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X47">
        <f>ROUND(Y47*Source!I84,9)</f>
        <v>4.9238400000000002</v>
      </c>
      <c r="CY47">
        <f>AD47</f>
        <v>0</v>
      </c>
      <c r="CZ47">
        <f>AH47</f>
        <v>0</v>
      </c>
      <c r="DA47">
        <f>AL47</f>
        <v>1</v>
      </c>
      <c r="DB47">
        <f t="shared" si="12"/>
        <v>0</v>
      </c>
      <c r="DC47">
        <f t="shared" si="13"/>
        <v>0</v>
      </c>
      <c r="DD47" t="s">
        <v>3</v>
      </c>
      <c r="DE47" t="s">
        <v>3</v>
      </c>
      <c r="DF47">
        <f>ROUND(AE47*CX47,2)</f>
        <v>0</v>
      </c>
      <c r="DG47">
        <f t="shared" si="9"/>
        <v>0</v>
      </c>
      <c r="DH47">
        <f t="shared" si="10"/>
        <v>0</v>
      </c>
      <c r="DI47">
        <f t="shared" si="8"/>
        <v>0</v>
      </c>
      <c r="DJ47">
        <f>DI47</f>
        <v>0</v>
      </c>
      <c r="DK47">
        <v>0</v>
      </c>
    </row>
    <row r="48" spans="1:115" x14ac:dyDescent="0.2">
      <c r="A48">
        <f>ROW(Source!A85)</f>
        <v>85</v>
      </c>
      <c r="B48">
        <v>59267179</v>
      </c>
      <c r="C48">
        <v>59272232</v>
      </c>
      <c r="D48">
        <v>30515951</v>
      </c>
      <c r="E48">
        <v>30515945</v>
      </c>
      <c r="F48">
        <v>1</v>
      </c>
      <c r="G48">
        <v>30515945</v>
      </c>
      <c r="H48">
        <v>1</v>
      </c>
      <c r="I48" t="s">
        <v>283</v>
      </c>
      <c r="J48" t="s">
        <v>3</v>
      </c>
      <c r="K48" t="s">
        <v>284</v>
      </c>
      <c r="L48">
        <v>1191</v>
      </c>
      <c r="N48">
        <v>1013</v>
      </c>
      <c r="O48" t="s">
        <v>285</v>
      </c>
      <c r="P48" t="s">
        <v>285</v>
      </c>
      <c r="Q48">
        <v>1</v>
      </c>
      <c r="W48">
        <v>0</v>
      </c>
      <c r="X48">
        <v>476480486</v>
      </c>
      <c r="Y48">
        <f t="shared" si="11"/>
        <v>10.3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1</v>
      </c>
      <c r="AJ48">
        <v>1</v>
      </c>
      <c r="AK48">
        <v>1</v>
      </c>
      <c r="AL48">
        <v>1</v>
      </c>
      <c r="AN48">
        <v>0</v>
      </c>
      <c r="AO48">
        <v>1</v>
      </c>
      <c r="AP48">
        <v>0</v>
      </c>
      <c r="AQ48">
        <v>0</v>
      </c>
      <c r="AR48">
        <v>0</v>
      </c>
      <c r="AS48" t="s">
        <v>3</v>
      </c>
      <c r="AT48">
        <v>10.3</v>
      </c>
      <c r="AU48" t="s">
        <v>3</v>
      </c>
      <c r="AV48">
        <v>1</v>
      </c>
      <c r="AW48">
        <v>2</v>
      </c>
      <c r="AX48">
        <v>59272233</v>
      </c>
      <c r="AY48">
        <v>1</v>
      </c>
      <c r="AZ48">
        <v>0</v>
      </c>
      <c r="BA48">
        <v>44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X48">
        <f>ROUND(Y48*Source!I85,9)</f>
        <v>8.24</v>
      </c>
      <c r="CY48">
        <f>AD48</f>
        <v>0</v>
      </c>
      <c r="CZ48">
        <f>AH48</f>
        <v>0</v>
      </c>
      <c r="DA48">
        <f>AL48</f>
        <v>1</v>
      </c>
      <c r="DB48">
        <f t="shared" si="12"/>
        <v>0</v>
      </c>
      <c r="DC48">
        <f t="shared" si="13"/>
        <v>0</v>
      </c>
      <c r="DD48" t="s">
        <v>3</v>
      </c>
      <c r="DE48" t="s">
        <v>3</v>
      </c>
      <c r="DF48">
        <f>ROUND(AE48*CX48,2)</f>
        <v>0</v>
      </c>
      <c r="DG48">
        <f t="shared" si="9"/>
        <v>0</v>
      </c>
      <c r="DH48">
        <f t="shared" si="10"/>
        <v>0</v>
      </c>
      <c r="DI48">
        <f t="shared" si="8"/>
        <v>0</v>
      </c>
      <c r="DJ48">
        <f>DI48</f>
        <v>0</v>
      </c>
      <c r="DK48">
        <v>0</v>
      </c>
    </row>
    <row r="49" spans="1:115" x14ac:dyDescent="0.2">
      <c r="A49">
        <f>ROW(Source!A85)</f>
        <v>85</v>
      </c>
      <c r="B49">
        <v>59267179</v>
      </c>
      <c r="C49">
        <v>59272232</v>
      </c>
      <c r="D49">
        <v>30572056</v>
      </c>
      <c r="E49">
        <v>1</v>
      </c>
      <c r="F49">
        <v>1</v>
      </c>
      <c r="G49">
        <v>30515945</v>
      </c>
      <c r="H49">
        <v>3</v>
      </c>
      <c r="I49" t="s">
        <v>154</v>
      </c>
      <c r="J49" t="s">
        <v>156</v>
      </c>
      <c r="K49" t="s">
        <v>155</v>
      </c>
      <c r="L49">
        <v>1348</v>
      </c>
      <c r="N49">
        <v>1009</v>
      </c>
      <c r="O49" t="s">
        <v>64</v>
      </c>
      <c r="P49" t="s">
        <v>64</v>
      </c>
      <c r="Q49">
        <v>1000</v>
      </c>
      <c r="W49">
        <v>0</v>
      </c>
      <c r="X49">
        <v>-317801489</v>
      </c>
      <c r="Y49">
        <f t="shared" si="11"/>
        <v>0.14430000000000001</v>
      </c>
      <c r="AA49">
        <v>24504.09</v>
      </c>
      <c r="AB49">
        <v>0</v>
      </c>
      <c r="AC49">
        <v>0</v>
      </c>
      <c r="AD49">
        <v>0</v>
      </c>
      <c r="AE49">
        <v>7879.13</v>
      </c>
      <c r="AF49">
        <v>0</v>
      </c>
      <c r="AG49">
        <v>0</v>
      </c>
      <c r="AH49">
        <v>0</v>
      </c>
      <c r="AI49">
        <v>3.11</v>
      </c>
      <c r="AJ49">
        <v>1</v>
      </c>
      <c r="AK49">
        <v>1</v>
      </c>
      <c r="AL49">
        <v>1</v>
      </c>
      <c r="AN49">
        <v>0</v>
      </c>
      <c r="AO49">
        <v>0</v>
      </c>
      <c r="AP49">
        <v>0</v>
      </c>
      <c r="AQ49">
        <v>0</v>
      </c>
      <c r="AR49">
        <v>0</v>
      </c>
      <c r="AS49" t="s">
        <v>3</v>
      </c>
      <c r="AT49">
        <v>0.14430000000000001</v>
      </c>
      <c r="AU49" t="s">
        <v>3</v>
      </c>
      <c r="AV49">
        <v>0</v>
      </c>
      <c r="AW49">
        <v>1</v>
      </c>
      <c r="AX49">
        <v>-1</v>
      </c>
      <c r="AY49">
        <v>0</v>
      </c>
      <c r="AZ49">
        <v>0</v>
      </c>
      <c r="BA49" t="s">
        <v>3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X49">
        <f>ROUND(Y49*Source!I85,9)</f>
        <v>0.11544</v>
      </c>
      <c r="CY49">
        <f>AA49</f>
        <v>24504.09</v>
      </c>
      <c r="CZ49">
        <f>AE49</f>
        <v>7879.13</v>
      </c>
      <c r="DA49">
        <f>AI49</f>
        <v>3.11</v>
      </c>
      <c r="DB49">
        <f t="shared" si="12"/>
        <v>1136.96</v>
      </c>
      <c r="DC49">
        <f t="shared" si="13"/>
        <v>0</v>
      </c>
      <c r="DD49" t="s">
        <v>3</v>
      </c>
      <c r="DE49" t="s">
        <v>3</v>
      </c>
      <c r="DF49">
        <f>ROUND(ROUND(AE49*CX49,2)*AI49,2)</f>
        <v>2828.76</v>
      </c>
      <c r="DG49">
        <f t="shared" si="9"/>
        <v>0</v>
      </c>
      <c r="DH49">
        <f t="shared" si="10"/>
        <v>0</v>
      </c>
      <c r="DI49">
        <f t="shared" si="8"/>
        <v>0</v>
      </c>
      <c r="DJ49">
        <f>DF49</f>
        <v>2828.76</v>
      </c>
      <c r="DK49">
        <v>0</v>
      </c>
    </row>
    <row r="50" spans="1:115" x14ac:dyDescent="0.2">
      <c r="A50">
        <f>ROW(Source!A87)</f>
        <v>87</v>
      </c>
      <c r="B50">
        <v>59267179</v>
      </c>
      <c r="C50">
        <v>59272402</v>
      </c>
      <c r="D50">
        <v>30515951</v>
      </c>
      <c r="E50">
        <v>30515945</v>
      </c>
      <c r="F50">
        <v>1</v>
      </c>
      <c r="G50">
        <v>30515945</v>
      </c>
      <c r="H50">
        <v>1</v>
      </c>
      <c r="I50" t="s">
        <v>283</v>
      </c>
      <c r="J50" t="s">
        <v>3</v>
      </c>
      <c r="K50" t="s">
        <v>284</v>
      </c>
      <c r="L50">
        <v>1191</v>
      </c>
      <c r="N50">
        <v>1013</v>
      </c>
      <c r="O50" t="s">
        <v>285</v>
      </c>
      <c r="P50" t="s">
        <v>285</v>
      </c>
      <c r="Q50">
        <v>1</v>
      </c>
      <c r="W50">
        <v>0</v>
      </c>
      <c r="X50">
        <v>476480486</v>
      </c>
      <c r="Y50">
        <f t="shared" si="11"/>
        <v>14.4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N50">
        <v>0</v>
      </c>
      <c r="AO50">
        <v>1</v>
      </c>
      <c r="AP50">
        <v>0</v>
      </c>
      <c r="AQ50">
        <v>0</v>
      </c>
      <c r="AR50">
        <v>0</v>
      </c>
      <c r="AS50" t="s">
        <v>3</v>
      </c>
      <c r="AT50">
        <v>14.4</v>
      </c>
      <c r="AU50" t="s">
        <v>3</v>
      </c>
      <c r="AV50">
        <v>1</v>
      </c>
      <c r="AW50">
        <v>2</v>
      </c>
      <c r="AX50">
        <v>59272403</v>
      </c>
      <c r="AY50">
        <v>1</v>
      </c>
      <c r="AZ50">
        <v>0</v>
      </c>
      <c r="BA50">
        <v>45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X50">
        <f>ROUND(Y50*Source!I87,9)</f>
        <v>3.3119999999999998</v>
      </c>
      <c r="CY50">
        <f>AD50</f>
        <v>0</v>
      </c>
      <c r="CZ50">
        <f>AH50</f>
        <v>0</v>
      </c>
      <c r="DA50">
        <f>AL50</f>
        <v>1</v>
      </c>
      <c r="DB50">
        <f t="shared" si="12"/>
        <v>0</v>
      </c>
      <c r="DC50">
        <f t="shared" si="13"/>
        <v>0</v>
      </c>
      <c r="DD50" t="s">
        <v>3</v>
      </c>
      <c r="DE50" t="s">
        <v>3</v>
      </c>
      <c r="DF50">
        <f>ROUND(AE50*CX50,2)</f>
        <v>0</v>
      </c>
      <c r="DG50">
        <f t="shared" si="9"/>
        <v>0</v>
      </c>
      <c r="DH50">
        <f t="shared" si="10"/>
        <v>0</v>
      </c>
      <c r="DI50">
        <f t="shared" si="8"/>
        <v>0</v>
      </c>
      <c r="DJ50">
        <f>DI50</f>
        <v>0</v>
      </c>
      <c r="DK50">
        <v>0</v>
      </c>
    </row>
    <row r="51" spans="1:115" x14ac:dyDescent="0.2">
      <c r="A51">
        <f>ROW(Source!A87)</f>
        <v>87</v>
      </c>
      <c r="B51">
        <v>59267179</v>
      </c>
      <c r="C51">
        <v>59272402</v>
      </c>
      <c r="D51">
        <v>30572035</v>
      </c>
      <c r="E51">
        <v>1</v>
      </c>
      <c r="F51">
        <v>1</v>
      </c>
      <c r="G51">
        <v>30515945</v>
      </c>
      <c r="H51">
        <v>3</v>
      </c>
      <c r="I51" t="s">
        <v>196</v>
      </c>
      <c r="J51" t="s">
        <v>198</v>
      </c>
      <c r="K51" t="s">
        <v>197</v>
      </c>
      <c r="L51">
        <v>1348</v>
      </c>
      <c r="N51">
        <v>1009</v>
      </c>
      <c r="O51" t="s">
        <v>64</v>
      </c>
      <c r="P51" t="s">
        <v>64</v>
      </c>
      <c r="Q51">
        <v>1000</v>
      </c>
      <c r="W51">
        <v>0</v>
      </c>
      <c r="X51">
        <v>1134268875</v>
      </c>
      <c r="Y51">
        <f t="shared" si="11"/>
        <v>0.157</v>
      </c>
      <c r="AA51">
        <v>31198.720000000001</v>
      </c>
      <c r="AB51">
        <v>0</v>
      </c>
      <c r="AC51">
        <v>0</v>
      </c>
      <c r="AD51">
        <v>0</v>
      </c>
      <c r="AE51">
        <v>6500.22</v>
      </c>
      <c r="AF51">
        <v>0</v>
      </c>
      <c r="AG51">
        <v>0</v>
      </c>
      <c r="AH51">
        <v>0</v>
      </c>
      <c r="AI51">
        <v>4.4400000000000004</v>
      </c>
      <c r="AJ51">
        <v>1</v>
      </c>
      <c r="AK51">
        <v>1</v>
      </c>
      <c r="AL51">
        <v>1</v>
      </c>
      <c r="AN51">
        <v>0</v>
      </c>
      <c r="AO51">
        <v>0</v>
      </c>
      <c r="AP51">
        <v>0</v>
      </c>
      <c r="AQ51">
        <v>0</v>
      </c>
      <c r="AR51">
        <v>0</v>
      </c>
      <c r="AS51" t="s">
        <v>3</v>
      </c>
      <c r="AT51">
        <v>0.157</v>
      </c>
      <c r="AU51" t="s">
        <v>3</v>
      </c>
      <c r="AV51">
        <v>0</v>
      </c>
      <c r="AW51">
        <v>1</v>
      </c>
      <c r="AX51">
        <v>-1</v>
      </c>
      <c r="AY51">
        <v>0</v>
      </c>
      <c r="AZ51">
        <v>0</v>
      </c>
      <c r="BA51" t="s">
        <v>3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X51">
        <f>ROUND(Y51*Source!I87,9)</f>
        <v>3.6110000000000003E-2</v>
      </c>
      <c r="CY51">
        <f>AA51</f>
        <v>31198.720000000001</v>
      </c>
      <c r="CZ51">
        <f>AE51</f>
        <v>6500.22</v>
      </c>
      <c r="DA51">
        <f>AI51</f>
        <v>4.4400000000000004</v>
      </c>
      <c r="DB51">
        <f t="shared" si="12"/>
        <v>1020.53</v>
      </c>
      <c r="DC51">
        <f t="shared" si="13"/>
        <v>0</v>
      </c>
      <c r="DD51" t="s">
        <v>3</v>
      </c>
      <c r="DE51" t="s">
        <v>3</v>
      </c>
      <c r="DF51">
        <f>ROUND(ROUND(AE51*CX51,2)*AI51,2)</f>
        <v>1042.1600000000001</v>
      </c>
      <c r="DG51">
        <f t="shared" si="9"/>
        <v>0</v>
      </c>
      <c r="DH51">
        <f t="shared" si="10"/>
        <v>0</v>
      </c>
      <c r="DI51">
        <f t="shared" si="8"/>
        <v>0</v>
      </c>
      <c r="DJ51">
        <f>DF51</f>
        <v>1042.1600000000001</v>
      </c>
      <c r="DK51">
        <v>0</v>
      </c>
    </row>
    <row r="52" spans="1:115" x14ac:dyDescent="0.2">
      <c r="A52">
        <f>ROW(Source!A89)</f>
        <v>89</v>
      </c>
      <c r="B52">
        <v>59267179</v>
      </c>
      <c r="C52">
        <v>59272398</v>
      </c>
      <c r="D52">
        <v>30515951</v>
      </c>
      <c r="E52">
        <v>30515945</v>
      </c>
      <c r="F52">
        <v>1</v>
      </c>
      <c r="G52">
        <v>30515945</v>
      </c>
      <c r="H52">
        <v>1</v>
      </c>
      <c r="I52" t="s">
        <v>283</v>
      </c>
      <c r="J52" t="s">
        <v>3</v>
      </c>
      <c r="K52" t="s">
        <v>284</v>
      </c>
      <c r="L52">
        <v>1191</v>
      </c>
      <c r="N52">
        <v>1013</v>
      </c>
      <c r="O52" t="s">
        <v>285</v>
      </c>
      <c r="P52" t="s">
        <v>285</v>
      </c>
      <c r="Q52">
        <v>1</v>
      </c>
      <c r="W52">
        <v>0</v>
      </c>
      <c r="X52">
        <v>476480486</v>
      </c>
      <c r="Y52">
        <f t="shared" si="11"/>
        <v>18.5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1</v>
      </c>
      <c r="AJ52">
        <v>1</v>
      </c>
      <c r="AK52">
        <v>1</v>
      </c>
      <c r="AL52">
        <v>1</v>
      </c>
      <c r="AN52">
        <v>0</v>
      </c>
      <c r="AO52">
        <v>1</v>
      </c>
      <c r="AP52">
        <v>0</v>
      </c>
      <c r="AQ52">
        <v>0</v>
      </c>
      <c r="AR52">
        <v>0</v>
      </c>
      <c r="AS52" t="s">
        <v>3</v>
      </c>
      <c r="AT52">
        <v>18.5</v>
      </c>
      <c r="AU52" t="s">
        <v>3</v>
      </c>
      <c r="AV52">
        <v>1</v>
      </c>
      <c r="AW52">
        <v>2</v>
      </c>
      <c r="AX52">
        <v>59272399</v>
      </c>
      <c r="AY52">
        <v>1</v>
      </c>
      <c r="AZ52">
        <v>0</v>
      </c>
      <c r="BA52">
        <v>46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X52">
        <f>ROUND(Y52*Source!I89,9)</f>
        <v>0.37</v>
      </c>
      <c r="CY52">
        <f>AD52</f>
        <v>0</v>
      </c>
      <c r="CZ52">
        <f>AH52</f>
        <v>0</v>
      </c>
      <c r="DA52">
        <f>AL52</f>
        <v>1</v>
      </c>
      <c r="DB52">
        <f t="shared" si="12"/>
        <v>0</v>
      </c>
      <c r="DC52">
        <f t="shared" si="13"/>
        <v>0</v>
      </c>
      <c r="DD52" t="s">
        <v>3</v>
      </c>
      <c r="DE52" t="s">
        <v>3</v>
      </c>
      <c r="DF52">
        <f>ROUND(AE52*CX52,2)</f>
        <v>0</v>
      </c>
      <c r="DG52">
        <f t="shared" si="9"/>
        <v>0</v>
      </c>
      <c r="DH52">
        <f t="shared" si="10"/>
        <v>0</v>
      </c>
      <c r="DI52">
        <f t="shared" si="8"/>
        <v>0</v>
      </c>
      <c r="DJ52">
        <f>DI52</f>
        <v>0</v>
      </c>
      <c r="DK52">
        <v>0</v>
      </c>
    </row>
    <row r="53" spans="1:115" x14ac:dyDescent="0.2">
      <c r="A53">
        <f>ROW(Source!A89)</f>
        <v>89</v>
      </c>
      <c r="B53">
        <v>59267179</v>
      </c>
      <c r="C53">
        <v>59272398</v>
      </c>
      <c r="D53">
        <v>30572035</v>
      </c>
      <c r="E53">
        <v>1</v>
      </c>
      <c r="F53">
        <v>1</v>
      </c>
      <c r="G53">
        <v>30515945</v>
      </c>
      <c r="H53">
        <v>3</v>
      </c>
      <c r="I53" t="s">
        <v>196</v>
      </c>
      <c r="J53" t="s">
        <v>198</v>
      </c>
      <c r="K53" t="s">
        <v>197</v>
      </c>
      <c r="L53">
        <v>1348</v>
      </c>
      <c r="N53">
        <v>1009</v>
      </c>
      <c r="O53" t="s">
        <v>64</v>
      </c>
      <c r="P53" t="s">
        <v>64</v>
      </c>
      <c r="Q53">
        <v>1000</v>
      </c>
      <c r="W53">
        <v>0</v>
      </c>
      <c r="X53">
        <v>1134268875</v>
      </c>
      <c r="Y53">
        <f t="shared" si="11"/>
        <v>0.157</v>
      </c>
      <c r="AA53">
        <v>31198.720000000001</v>
      </c>
      <c r="AB53">
        <v>0</v>
      </c>
      <c r="AC53">
        <v>0</v>
      </c>
      <c r="AD53">
        <v>0</v>
      </c>
      <c r="AE53">
        <v>6500.22</v>
      </c>
      <c r="AF53">
        <v>0</v>
      </c>
      <c r="AG53">
        <v>0</v>
      </c>
      <c r="AH53">
        <v>0</v>
      </c>
      <c r="AI53">
        <v>4.4400000000000004</v>
      </c>
      <c r="AJ53">
        <v>1</v>
      </c>
      <c r="AK53">
        <v>1</v>
      </c>
      <c r="AL53">
        <v>1</v>
      </c>
      <c r="AN53">
        <v>0</v>
      </c>
      <c r="AO53">
        <v>0</v>
      </c>
      <c r="AP53">
        <v>0</v>
      </c>
      <c r="AQ53">
        <v>0</v>
      </c>
      <c r="AR53">
        <v>0</v>
      </c>
      <c r="AS53" t="s">
        <v>3</v>
      </c>
      <c r="AT53">
        <v>0.157</v>
      </c>
      <c r="AU53" t="s">
        <v>3</v>
      </c>
      <c r="AV53">
        <v>0</v>
      </c>
      <c r="AW53">
        <v>1</v>
      </c>
      <c r="AX53">
        <v>-1</v>
      </c>
      <c r="AY53">
        <v>0</v>
      </c>
      <c r="AZ53">
        <v>0</v>
      </c>
      <c r="BA53" t="s">
        <v>3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X53">
        <f>ROUND(Y53*Source!I89,9)</f>
        <v>3.14E-3</v>
      </c>
      <c r="CY53">
        <f>AA53</f>
        <v>31198.720000000001</v>
      </c>
      <c r="CZ53">
        <f>AE53</f>
        <v>6500.22</v>
      </c>
      <c r="DA53">
        <f>AI53</f>
        <v>4.4400000000000004</v>
      </c>
      <c r="DB53">
        <f t="shared" si="12"/>
        <v>1020.53</v>
      </c>
      <c r="DC53">
        <f t="shared" si="13"/>
        <v>0</v>
      </c>
      <c r="DD53" t="s">
        <v>3</v>
      </c>
      <c r="DE53" t="s">
        <v>3</v>
      </c>
      <c r="DF53">
        <f>ROUND(ROUND(AE53*CX53,2)*AI53,2)</f>
        <v>90.62</v>
      </c>
      <c r="DG53">
        <f t="shared" si="9"/>
        <v>0</v>
      </c>
      <c r="DH53">
        <f t="shared" si="10"/>
        <v>0</v>
      </c>
      <c r="DI53">
        <f t="shared" si="8"/>
        <v>0</v>
      </c>
      <c r="DJ53">
        <f>DF53</f>
        <v>90.62</v>
      </c>
      <c r="DK53">
        <v>0</v>
      </c>
    </row>
    <row r="54" spans="1:115" x14ac:dyDescent="0.2">
      <c r="A54">
        <f>ROW(Source!A163)</f>
        <v>163</v>
      </c>
      <c r="B54">
        <v>59267179</v>
      </c>
      <c r="C54">
        <v>59272953</v>
      </c>
      <c r="D54">
        <v>30515951</v>
      </c>
      <c r="E54">
        <v>30515945</v>
      </c>
      <c r="F54">
        <v>1</v>
      </c>
      <c r="G54">
        <v>30515945</v>
      </c>
      <c r="H54">
        <v>1</v>
      </c>
      <c r="I54" t="s">
        <v>283</v>
      </c>
      <c r="J54" t="s">
        <v>3</v>
      </c>
      <c r="K54" t="s">
        <v>284</v>
      </c>
      <c r="L54">
        <v>1191</v>
      </c>
      <c r="N54">
        <v>1013</v>
      </c>
      <c r="O54" t="s">
        <v>285</v>
      </c>
      <c r="P54" t="s">
        <v>285</v>
      </c>
      <c r="Q54">
        <v>1</v>
      </c>
      <c r="W54">
        <v>0</v>
      </c>
      <c r="X54">
        <v>476480486</v>
      </c>
      <c r="Y54">
        <f t="shared" si="11"/>
        <v>11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1</v>
      </c>
      <c r="AJ54">
        <v>1</v>
      </c>
      <c r="AK54">
        <v>1</v>
      </c>
      <c r="AL54">
        <v>1</v>
      </c>
      <c r="AN54">
        <v>0</v>
      </c>
      <c r="AO54">
        <v>1</v>
      </c>
      <c r="AP54">
        <v>0</v>
      </c>
      <c r="AQ54">
        <v>0</v>
      </c>
      <c r="AR54">
        <v>0</v>
      </c>
      <c r="AS54" t="s">
        <v>3</v>
      </c>
      <c r="AT54">
        <v>11</v>
      </c>
      <c r="AU54" t="s">
        <v>3</v>
      </c>
      <c r="AV54">
        <v>1</v>
      </c>
      <c r="AW54">
        <v>2</v>
      </c>
      <c r="AX54">
        <v>59272954</v>
      </c>
      <c r="AY54">
        <v>1</v>
      </c>
      <c r="AZ54">
        <v>0</v>
      </c>
      <c r="BA54">
        <v>47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X54">
        <f>ROUND(Y54*Source!I163,9)</f>
        <v>11</v>
      </c>
      <c r="CY54">
        <f t="shared" ref="CY54:CY66" si="14">AD54</f>
        <v>0</v>
      </c>
      <c r="CZ54">
        <f t="shared" ref="CZ54:CZ66" si="15">AH54</f>
        <v>0</v>
      </c>
      <c r="DA54">
        <f t="shared" ref="DA54:DA66" si="16">AL54</f>
        <v>1</v>
      </c>
      <c r="DB54">
        <f t="shared" si="12"/>
        <v>0</v>
      </c>
      <c r="DC54">
        <f t="shared" si="13"/>
        <v>0</v>
      </c>
      <c r="DD54" t="s">
        <v>3</v>
      </c>
      <c r="DE54" t="s">
        <v>3</v>
      </c>
      <c r="DF54">
        <f t="shared" ref="DF54:DF66" si="17">ROUND(AE54*CX54,2)</f>
        <v>0</v>
      </c>
      <c r="DG54">
        <f t="shared" si="9"/>
        <v>0</v>
      </c>
      <c r="DH54">
        <f t="shared" si="10"/>
        <v>0</v>
      </c>
      <c r="DI54">
        <f t="shared" si="8"/>
        <v>0</v>
      </c>
      <c r="DJ54">
        <f t="shared" ref="DJ54:DJ66" si="18">DI54</f>
        <v>0</v>
      </c>
      <c r="DK54">
        <v>0</v>
      </c>
    </row>
    <row r="55" spans="1:115" x14ac:dyDescent="0.2">
      <c r="A55">
        <f>ROW(Source!A164)</f>
        <v>164</v>
      </c>
      <c r="B55">
        <v>59267179</v>
      </c>
      <c r="C55">
        <v>59272955</v>
      </c>
      <c r="D55">
        <v>30515951</v>
      </c>
      <c r="E55">
        <v>30515945</v>
      </c>
      <c r="F55">
        <v>1</v>
      </c>
      <c r="G55">
        <v>30515945</v>
      </c>
      <c r="H55">
        <v>1</v>
      </c>
      <c r="I55" t="s">
        <v>283</v>
      </c>
      <c r="J55" t="s">
        <v>3</v>
      </c>
      <c r="K55" t="s">
        <v>284</v>
      </c>
      <c r="L55">
        <v>1191</v>
      </c>
      <c r="N55">
        <v>1013</v>
      </c>
      <c r="O55" t="s">
        <v>285</v>
      </c>
      <c r="P55" t="s">
        <v>285</v>
      </c>
      <c r="Q55">
        <v>1</v>
      </c>
      <c r="W55">
        <v>0</v>
      </c>
      <c r="X55">
        <v>476480486</v>
      </c>
      <c r="Y55">
        <f t="shared" si="11"/>
        <v>1.3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1</v>
      </c>
      <c r="AJ55">
        <v>1</v>
      </c>
      <c r="AK55">
        <v>1</v>
      </c>
      <c r="AL55">
        <v>1</v>
      </c>
      <c r="AN55">
        <v>0</v>
      </c>
      <c r="AO55">
        <v>1</v>
      </c>
      <c r="AP55">
        <v>0</v>
      </c>
      <c r="AQ55">
        <v>0</v>
      </c>
      <c r="AR55">
        <v>0</v>
      </c>
      <c r="AS55" t="s">
        <v>3</v>
      </c>
      <c r="AT55">
        <v>1.3</v>
      </c>
      <c r="AU55" t="s">
        <v>3</v>
      </c>
      <c r="AV55">
        <v>1</v>
      </c>
      <c r="AW55">
        <v>2</v>
      </c>
      <c r="AX55">
        <v>59272956</v>
      </c>
      <c r="AY55">
        <v>1</v>
      </c>
      <c r="AZ55">
        <v>0</v>
      </c>
      <c r="BA55">
        <v>48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X55">
        <f>ROUND(Y55*Source!I164,9)</f>
        <v>7.8</v>
      </c>
      <c r="CY55">
        <f t="shared" si="14"/>
        <v>0</v>
      </c>
      <c r="CZ55">
        <f t="shared" si="15"/>
        <v>0</v>
      </c>
      <c r="DA55">
        <f t="shared" si="16"/>
        <v>1</v>
      </c>
      <c r="DB55">
        <f t="shared" si="12"/>
        <v>0</v>
      </c>
      <c r="DC55">
        <f t="shared" si="13"/>
        <v>0</v>
      </c>
      <c r="DD55" t="s">
        <v>3</v>
      </c>
      <c r="DE55" t="s">
        <v>3</v>
      </c>
      <c r="DF55">
        <f t="shared" si="17"/>
        <v>0</v>
      </c>
      <c r="DG55">
        <f t="shared" si="9"/>
        <v>0</v>
      </c>
      <c r="DH55">
        <f t="shared" si="10"/>
        <v>0</v>
      </c>
      <c r="DI55">
        <f t="shared" si="8"/>
        <v>0</v>
      </c>
      <c r="DJ55">
        <f t="shared" si="18"/>
        <v>0</v>
      </c>
      <c r="DK55">
        <v>0</v>
      </c>
    </row>
    <row r="56" spans="1:115" x14ac:dyDescent="0.2">
      <c r="A56">
        <f>ROW(Source!A165)</f>
        <v>165</v>
      </c>
      <c r="B56">
        <v>59267179</v>
      </c>
      <c r="C56">
        <v>59272957</v>
      </c>
      <c r="D56">
        <v>30515951</v>
      </c>
      <c r="E56">
        <v>30515945</v>
      </c>
      <c r="F56">
        <v>1</v>
      </c>
      <c r="G56">
        <v>30515945</v>
      </c>
      <c r="H56">
        <v>1</v>
      </c>
      <c r="I56" t="s">
        <v>283</v>
      </c>
      <c r="J56" t="s">
        <v>3</v>
      </c>
      <c r="K56" t="s">
        <v>284</v>
      </c>
      <c r="L56">
        <v>1191</v>
      </c>
      <c r="N56">
        <v>1013</v>
      </c>
      <c r="O56" t="s">
        <v>285</v>
      </c>
      <c r="P56" t="s">
        <v>285</v>
      </c>
      <c r="Q56">
        <v>1</v>
      </c>
      <c r="W56">
        <v>0</v>
      </c>
      <c r="X56">
        <v>476480486</v>
      </c>
      <c r="Y56">
        <f t="shared" si="11"/>
        <v>4.5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1</v>
      </c>
      <c r="AJ56">
        <v>1</v>
      </c>
      <c r="AK56">
        <v>1</v>
      </c>
      <c r="AL56">
        <v>1</v>
      </c>
      <c r="AN56">
        <v>0</v>
      </c>
      <c r="AO56">
        <v>1</v>
      </c>
      <c r="AP56">
        <v>0</v>
      </c>
      <c r="AQ56">
        <v>0</v>
      </c>
      <c r="AR56">
        <v>0</v>
      </c>
      <c r="AS56" t="s">
        <v>3</v>
      </c>
      <c r="AT56">
        <v>4.5</v>
      </c>
      <c r="AU56" t="s">
        <v>3</v>
      </c>
      <c r="AV56">
        <v>1</v>
      </c>
      <c r="AW56">
        <v>2</v>
      </c>
      <c r="AX56">
        <v>59272958</v>
      </c>
      <c r="AY56">
        <v>1</v>
      </c>
      <c r="AZ56">
        <v>0</v>
      </c>
      <c r="BA56">
        <v>49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X56">
        <f>ROUND(Y56*Source!I165,9)</f>
        <v>18</v>
      </c>
      <c r="CY56">
        <f t="shared" si="14"/>
        <v>0</v>
      </c>
      <c r="CZ56">
        <f t="shared" si="15"/>
        <v>0</v>
      </c>
      <c r="DA56">
        <f t="shared" si="16"/>
        <v>1</v>
      </c>
      <c r="DB56">
        <f t="shared" si="12"/>
        <v>0</v>
      </c>
      <c r="DC56">
        <f t="shared" si="13"/>
        <v>0</v>
      </c>
      <c r="DD56" t="s">
        <v>3</v>
      </c>
      <c r="DE56" t="s">
        <v>3</v>
      </c>
      <c r="DF56">
        <f t="shared" si="17"/>
        <v>0</v>
      </c>
      <c r="DG56">
        <f t="shared" si="9"/>
        <v>0</v>
      </c>
      <c r="DH56">
        <f t="shared" si="10"/>
        <v>0</v>
      </c>
      <c r="DI56">
        <f t="shared" si="8"/>
        <v>0</v>
      </c>
      <c r="DJ56">
        <f t="shared" si="18"/>
        <v>0</v>
      </c>
      <c r="DK56">
        <v>0</v>
      </c>
    </row>
    <row r="57" spans="1:115" x14ac:dyDescent="0.2">
      <c r="A57">
        <f>ROW(Source!A166)</f>
        <v>166</v>
      </c>
      <c r="B57">
        <v>59267179</v>
      </c>
      <c r="C57">
        <v>59272959</v>
      </c>
      <c r="D57">
        <v>30515951</v>
      </c>
      <c r="E57">
        <v>30515945</v>
      </c>
      <c r="F57">
        <v>1</v>
      </c>
      <c r="G57">
        <v>30515945</v>
      </c>
      <c r="H57">
        <v>1</v>
      </c>
      <c r="I57" t="s">
        <v>283</v>
      </c>
      <c r="J57" t="s">
        <v>3</v>
      </c>
      <c r="K57" t="s">
        <v>284</v>
      </c>
      <c r="L57">
        <v>1191</v>
      </c>
      <c r="N57">
        <v>1013</v>
      </c>
      <c r="O57" t="s">
        <v>285</v>
      </c>
      <c r="P57" t="s">
        <v>285</v>
      </c>
      <c r="Q57">
        <v>1</v>
      </c>
      <c r="W57">
        <v>0</v>
      </c>
      <c r="X57">
        <v>476480486</v>
      </c>
      <c r="Y57">
        <f t="shared" si="11"/>
        <v>6.3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1</v>
      </c>
      <c r="AJ57">
        <v>1</v>
      </c>
      <c r="AK57">
        <v>1</v>
      </c>
      <c r="AL57">
        <v>1</v>
      </c>
      <c r="AN57">
        <v>0</v>
      </c>
      <c r="AO57">
        <v>1</v>
      </c>
      <c r="AP57">
        <v>0</v>
      </c>
      <c r="AQ57">
        <v>0</v>
      </c>
      <c r="AR57">
        <v>0</v>
      </c>
      <c r="AS57" t="s">
        <v>3</v>
      </c>
      <c r="AT57">
        <v>6.3</v>
      </c>
      <c r="AU57" t="s">
        <v>3</v>
      </c>
      <c r="AV57">
        <v>1</v>
      </c>
      <c r="AW57">
        <v>2</v>
      </c>
      <c r="AX57">
        <v>59272960</v>
      </c>
      <c r="AY57">
        <v>1</v>
      </c>
      <c r="AZ57">
        <v>0</v>
      </c>
      <c r="BA57">
        <v>50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X57">
        <f>ROUND(Y57*Source!I166,9)</f>
        <v>6.3</v>
      </c>
      <c r="CY57">
        <f t="shared" si="14"/>
        <v>0</v>
      </c>
      <c r="CZ57">
        <f t="shared" si="15"/>
        <v>0</v>
      </c>
      <c r="DA57">
        <f t="shared" si="16"/>
        <v>1</v>
      </c>
      <c r="DB57">
        <f t="shared" si="12"/>
        <v>0</v>
      </c>
      <c r="DC57">
        <f t="shared" si="13"/>
        <v>0</v>
      </c>
      <c r="DD57" t="s">
        <v>3</v>
      </c>
      <c r="DE57" t="s">
        <v>3</v>
      </c>
      <c r="DF57">
        <f t="shared" si="17"/>
        <v>0</v>
      </c>
      <c r="DG57">
        <f t="shared" si="9"/>
        <v>0</v>
      </c>
      <c r="DH57">
        <f t="shared" si="10"/>
        <v>0</v>
      </c>
      <c r="DI57">
        <f t="shared" si="8"/>
        <v>0</v>
      </c>
      <c r="DJ57">
        <f t="shared" si="18"/>
        <v>0</v>
      </c>
      <c r="DK57">
        <v>0</v>
      </c>
    </row>
    <row r="58" spans="1:115" x14ac:dyDescent="0.2">
      <c r="A58">
        <f>ROW(Source!A167)</f>
        <v>167</v>
      </c>
      <c r="B58">
        <v>59267179</v>
      </c>
      <c r="C58">
        <v>59272961</v>
      </c>
      <c r="D58">
        <v>30515951</v>
      </c>
      <c r="E58">
        <v>30515945</v>
      </c>
      <c r="F58">
        <v>1</v>
      </c>
      <c r="G58">
        <v>30515945</v>
      </c>
      <c r="H58">
        <v>1</v>
      </c>
      <c r="I58" t="s">
        <v>283</v>
      </c>
      <c r="J58" t="s">
        <v>3</v>
      </c>
      <c r="K58" t="s">
        <v>284</v>
      </c>
      <c r="L58">
        <v>1191</v>
      </c>
      <c r="N58">
        <v>1013</v>
      </c>
      <c r="O58" t="s">
        <v>285</v>
      </c>
      <c r="P58" t="s">
        <v>285</v>
      </c>
      <c r="Q58">
        <v>1</v>
      </c>
      <c r="W58">
        <v>0</v>
      </c>
      <c r="X58">
        <v>476480486</v>
      </c>
      <c r="Y58">
        <f t="shared" si="11"/>
        <v>7.2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1</v>
      </c>
      <c r="AJ58">
        <v>1</v>
      </c>
      <c r="AK58">
        <v>1</v>
      </c>
      <c r="AL58">
        <v>1</v>
      </c>
      <c r="AN58">
        <v>0</v>
      </c>
      <c r="AO58">
        <v>1</v>
      </c>
      <c r="AP58">
        <v>0</v>
      </c>
      <c r="AQ58">
        <v>0</v>
      </c>
      <c r="AR58">
        <v>0</v>
      </c>
      <c r="AS58" t="s">
        <v>3</v>
      </c>
      <c r="AT58">
        <v>7.2</v>
      </c>
      <c r="AU58" t="s">
        <v>3</v>
      </c>
      <c r="AV58">
        <v>1</v>
      </c>
      <c r="AW58">
        <v>2</v>
      </c>
      <c r="AX58">
        <v>59272962</v>
      </c>
      <c r="AY58">
        <v>1</v>
      </c>
      <c r="AZ58">
        <v>0</v>
      </c>
      <c r="BA58">
        <v>51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X58">
        <f>ROUND(Y58*Source!I167,9)</f>
        <v>7.2</v>
      </c>
      <c r="CY58">
        <f t="shared" si="14"/>
        <v>0</v>
      </c>
      <c r="CZ58">
        <f t="shared" si="15"/>
        <v>0</v>
      </c>
      <c r="DA58">
        <f t="shared" si="16"/>
        <v>1</v>
      </c>
      <c r="DB58">
        <f t="shared" si="12"/>
        <v>0</v>
      </c>
      <c r="DC58">
        <f t="shared" si="13"/>
        <v>0</v>
      </c>
      <c r="DD58" t="s">
        <v>3</v>
      </c>
      <c r="DE58" t="s">
        <v>3</v>
      </c>
      <c r="DF58">
        <f t="shared" si="17"/>
        <v>0</v>
      </c>
      <c r="DG58">
        <f t="shared" si="9"/>
        <v>0</v>
      </c>
      <c r="DH58">
        <f t="shared" si="10"/>
        <v>0</v>
      </c>
      <c r="DI58">
        <f t="shared" si="8"/>
        <v>0</v>
      </c>
      <c r="DJ58">
        <f t="shared" si="18"/>
        <v>0</v>
      </c>
      <c r="DK58">
        <v>0</v>
      </c>
    </row>
    <row r="59" spans="1:115" x14ac:dyDescent="0.2">
      <c r="A59">
        <f>ROW(Source!A168)</f>
        <v>168</v>
      </c>
      <c r="B59">
        <v>59267179</v>
      </c>
      <c r="C59">
        <v>59272963</v>
      </c>
      <c r="D59">
        <v>30515951</v>
      </c>
      <c r="E59">
        <v>30515945</v>
      </c>
      <c r="F59">
        <v>1</v>
      </c>
      <c r="G59">
        <v>30515945</v>
      </c>
      <c r="H59">
        <v>1</v>
      </c>
      <c r="I59" t="s">
        <v>283</v>
      </c>
      <c r="J59" t="s">
        <v>3</v>
      </c>
      <c r="K59" t="s">
        <v>284</v>
      </c>
      <c r="L59">
        <v>1191</v>
      </c>
      <c r="N59">
        <v>1013</v>
      </c>
      <c r="O59" t="s">
        <v>285</v>
      </c>
      <c r="P59" t="s">
        <v>285</v>
      </c>
      <c r="Q59">
        <v>1</v>
      </c>
      <c r="W59">
        <v>0</v>
      </c>
      <c r="X59">
        <v>476480486</v>
      </c>
      <c r="Y59">
        <f t="shared" si="11"/>
        <v>10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1</v>
      </c>
      <c r="AJ59">
        <v>1</v>
      </c>
      <c r="AK59">
        <v>1</v>
      </c>
      <c r="AL59">
        <v>1</v>
      </c>
      <c r="AN59">
        <v>0</v>
      </c>
      <c r="AO59">
        <v>1</v>
      </c>
      <c r="AP59">
        <v>0</v>
      </c>
      <c r="AQ59">
        <v>0</v>
      </c>
      <c r="AR59">
        <v>0</v>
      </c>
      <c r="AS59" t="s">
        <v>3</v>
      </c>
      <c r="AT59">
        <v>10</v>
      </c>
      <c r="AU59" t="s">
        <v>3</v>
      </c>
      <c r="AV59">
        <v>1</v>
      </c>
      <c r="AW59">
        <v>2</v>
      </c>
      <c r="AX59">
        <v>59272964</v>
      </c>
      <c r="AY59">
        <v>1</v>
      </c>
      <c r="AZ59">
        <v>0</v>
      </c>
      <c r="BA59">
        <v>52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X59">
        <f>ROUND(Y59*Source!I168,9)</f>
        <v>10</v>
      </c>
      <c r="CY59">
        <f t="shared" si="14"/>
        <v>0</v>
      </c>
      <c r="CZ59">
        <f t="shared" si="15"/>
        <v>0</v>
      </c>
      <c r="DA59">
        <f t="shared" si="16"/>
        <v>1</v>
      </c>
      <c r="DB59">
        <f t="shared" si="12"/>
        <v>0</v>
      </c>
      <c r="DC59">
        <f t="shared" si="13"/>
        <v>0</v>
      </c>
      <c r="DD59" t="s">
        <v>3</v>
      </c>
      <c r="DE59" t="s">
        <v>3</v>
      </c>
      <c r="DF59">
        <f t="shared" si="17"/>
        <v>0</v>
      </c>
      <c r="DG59">
        <f t="shared" si="9"/>
        <v>0</v>
      </c>
      <c r="DH59">
        <f t="shared" si="10"/>
        <v>0</v>
      </c>
      <c r="DI59">
        <f t="shared" si="8"/>
        <v>0</v>
      </c>
      <c r="DJ59">
        <f t="shared" si="18"/>
        <v>0</v>
      </c>
      <c r="DK59">
        <v>0</v>
      </c>
    </row>
    <row r="60" spans="1:115" x14ac:dyDescent="0.2">
      <c r="A60">
        <f>ROW(Source!A169)</f>
        <v>169</v>
      </c>
      <c r="B60">
        <v>59267179</v>
      </c>
      <c r="C60">
        <v>59272965</v>
      </c>
      <c r="D60">
        <v>30515951</v>
      </c>
      <c r="E60">
        <v>30515945</v>
      </c>
      <c r="F60">
        <v>1</v>
      </c>
      <c r="G60">
        <v>30515945</v>
      </c>
      <c r="H60">
        <v>1</v>
      </c>
      <c r="I60" t="s">
        <v>283</v>
      </c>
      <c r="J60" t="s">
        <v>3</v>
      </c>
      <c r="K60" t="s">
        <v>284</v>
      </c>
      <c r="L60">
        <v>1191</v>
      </c>
      <c r="N60">
        <v>1013</v>
      </c>
      <c r="O60" t="s">
        <v>285</v>
      </c>
      <c r="P60" t="s">
        <v>285</v>
      </c>
      <c r="Q60">
        <v>1</v>
      </c>
      <c r="W60">
        <v>0</v>
      </c>
      <c r="X60">
        <v>476480486</v>
      </c>
      <c r="Y60">
        <f t="shared" si="11"/>
        <v>2.7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1</v>
      </c>
      <c r="AJ60">
        <v>1</v>
      </c>
      <c r="AK60">
        <v>1</v>
      </c>
      <c r="AL60">
        <v>1</v>
      </c>
      <c r="AN60">
        <v>0</v>
      </c>
      <c r="AO60">
        <v>1</v>
      </c>
      <c r="AP60">
        <v>0</v>
      </c>
      <c r="AQ60">
        <v>0</v>
      </c>
      <c r="AR60">
        <v>0</v>
      </c>
      <c r="AS60" t="s">
        <v>3</v>
      </c>
      <c r="AT60">
        <v>2.7</v>
      </c>
      <c r="AU60" t="s">
        <v>3</v>
      </c>
      <c r="AV60">
        <v>1</v>
      </c>
      <c r="AW60">
        <v>2</v>
      </c>
      <c r="AX60">
        <v>59272966</v>
      </c>
      <c r="AY60">
        <v>1</v>
      </c>
      <c r="AZ60">
        <v>0</v>
      </c>
      <c r="BA60">
        <v>53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X60">
        <f>ROUND(Y60*Source!I169,9)</f>
        <v>5.4</v>
      </c>
      <c r="CY60">
        <f t="shared" si="14"/>
        <v>0</v>
      </c>
      <c r="CZ60">
        <f t="shared" si="15"/>
        <v>0</v>
      </c>
      <c r="DA60">
        <f t="shared" si="16"/>
        <v>1</v>
      </c>
      <c r="DB60">
        <f t="shared" si="12"/>
        <v>0</v>
      </c>
      <c r="DC60">
        <f t="shared" si="13"/>
        <v>0</v>
      </c>
      <c r="DD60" t="s">
        <v>3</v>
      </c>
      <c r="DE60" t="s">
        <v>3</v>
      </c>
      <c r="DF60">
        <f t="shared" si="17"/>
        <v>0</v>
      </c>
      <c r="DG60">
        <f t="shared" si="9"/>
        <v>0</v>
      </c>
      <c r="DH60">
        <f t="shared" si="10"/>
        <v>0</v>
      </c>
      <c r="DI60">
        <f t="shared" si="8"/>
        <v>0</v>
      </c>
      <c r="DJ60">
        <f t="shared" si="18"/>
        <v>0</v>
      </c>
      <c r="DK60">
        <v>0</v>
      </c>
    </row>
    <row r="61" spans="1:115" x14ac:dyDescent="0.2">
      <c r="A61">
        <f>ROW(Source!A170)</f>
        <v>170</v>
      </c>
      <c r="B61">
        <v>59267179</v>
      </c>
      <c r="C61">
        <v>59272969</v>
      </c>
      <c r="D61">
        <v>30515951</v>
      </c>
      <c r="E61">
        <v>30515945</v>
      </c>
      <c r="F61">
        <v>1</v>
      </c>
      <c r="G61">
        <v>30515945</v>
      </c>
      <c r="H61">
        <v>1</v>
      </c>
      <c r="I61" t="s">
        <v>283</v>
      </c>
      <c r="J61" t="s">
        <v>3</v>
      </c>
      <c r="K61" t="s">
        <v>284</v>
      </c>
      <c r="L61">
        <v>1191</v>
      </c>
      <c r="N61">
        <v>1013</v>
      </c>
      <c r="O61" t="s">
        <v>285</v>
      </c>
      <c r="P61" t="s">
        <v>285</v>
      </c>
      <c r="Q61">
        <v>1</v>
      </c>
      <c r="W61">
        <v>0</v>
      </c>
      <c r="X61">
        <v>476480486</v>
      </c>
      <c r="Y61">
        <f t="shared" si="11"/>
        <v>22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1</v>
      </c>
      <c r="AJ61">
        <v>1</v>
      </c>
      <c r="AK61">
        <v>1</v>
      </c>
      <c r="AL61">
        <v>1</v>
      </c>
      <c r="AN61">
        <v>0</v>
      </c>
      <c r="AO61">
        <v>1</v>
      </c>
      <c r="AP61">
        <v>0</v>
      </c>
      <c r="AQ61">
        <v>0</v>
      </c>
      <c r="AR61">
        <v>0</v>
      </c>
      <c r="AS61" t="s">
        <v>3</v>
      </c>
      <c r="AT61">
        <v>22</v>
      </c>
      <c r="AU61" t="s">
        <v>3</v>
      </c>
      <c r="AV61">
        <v>1</v>
      </c>
      <c r="AW61">
        <v>2</v>
      </c>
      <c r="AX61">
        <v>59272970</v>
      </c>
      <c r="AY61">
        <v>1</v>
      </c>
      <c r="AZ61">
        <v>0</v>
      </c>
      <c r="BA61">
        <v>54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X61">
        <f>ROUND(Y61*Source!I170,9)</f>
        <v>66</v>
      </c>
      <c r="CY61">
        <f t="shared" si="14"/>
        <v>0</v>
      </c>
      <c r="CZ61">
        <f t="shared" si="15"/>
        <v>0</v>
      </c>
      <c r="DA61">
        <f t="shared" si="16"/>
        <v>1</v>
      </c>
      <c r="DB61">
        <f t="shared" si="12"/>
        <v>0</v>
      </c>
      <c r="DC61">
        <f t="shared" si="13"/>
        <v>0</v>
      </c>
      <c r="DD61" t="s">
        <v>3</v>
      </c>
      <c r="DE61" t="s">
        <v>3</v>
      </c>
      <c r="DF61">
        <f t="shared" si="17"/>
        <v>0</v>
      </c>
      <c r="DG61">
        <f t="shared" si="9"/>
        <v>0</v>
      </c>
      <c r="DH61">
        <f t="shared" si="10"/>
        <v>0</v>
      </c>
      <c r="DI61">
        <f t="shared" si="8"/>
        <v>0</v>
      </c>
      <c r="DJ61">
        <f t="shared" si="18"/>
        <v>0</v>
      </c>
      <c r="DK61">
        <v>0</v>
      </c>
    </row>
    <row r="62" spans="1:115" x14ac:dyDescent="0.2">
      <c r="A62">
        <f>ROW(Source!A171)</f>
        <v>171</v>
      </c>
      <c r="B62">
        <v>59267179</v>
      </c>
      <c r="C62">
        <v>59272989</v>
      </c>
      <c r="D62">
        <v>30515951</v>
      </c>
      <c r="E62">
        <v>30515945</v>
      </c>
      <c r="F62">
        <v>1</v>
      </c>
      <c r="G62">
        <v>30515945</v>
      </c>
      <c r="H62">
        <v>1</v>
      </c>
      <c r="I62" t="s">
        <v>283</v>
      </c>
      <c r="J62" t="s">
        <v>3</v>
      </c>
      <c r="K62" t="s">
        <v>284</v>
      </c>
      <c r="L62">
        <v>1191</v>
      </c>
      <c r="N62">
        <v>1013</v>
      </c>
      <c r="O62" t="s">
        <v>285</v>
      </c>
      <c r="P62" t="s">
        <v>285</v>
      </c>
      <c r="Q62">
        <v>1</v>
      </c>
      <c r="W62">
        <v>0</v>
      </c>
      <c r="X62">
        <v>476480486</v>
      </c>
      <c r="Y62">
        <f t="shared" si="11"/>
        <v>8.1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1</v>
      </c>
      <c r="AJ62">
        <v>1</v>
      </c>
      <c r="AK62">
        <v>1</v>
      </c>
      <c r="AL62">
        <v>1</v>
      </c>
      <c r="AN62">
        <v>0</v>
      </c>
      <c r="AO62">
        <v>1</v>
      </c>
      <c r="AP62">
        <v>0</v>
      </c>
      <c r="AQ62">
        <v>0</v>
      </c>
      <c r="AR62">
        <v>0</v>
      </c>
      <c r="AS62" t="s">
        <v>3</v>
      </c>
      <c r="AT62">
        <v>8.1</v>
      </c>
      <c r="AU62" t="s">
        <v>3</v>
      </c>
      <c r="AV62">
        <v>1</v>
      </c>
      <c r="AW62">
        <v>2</v>
      </c>
      <c r="AX62">
        <v>59272990</v>
      </c>
      <c r="AY62">
        <v>1</v>
      </c>
      <c r="AZ62">
        <v>0</v>
      </c>
      <c r="BA62">
        <v>55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X62">
        <f>ROUND(Y62*Source!I171,9)</f>
        <v>16.2</v>
      </c>
      <c r="CY62">
        <f t="shared" si="14"/>
        <v>0</v>
      </c>
      <c r="CZ62">
        <f t="shared" si="15"/>
        <v>0</v>
      </c>
      <c r="DA62">
        <f t="shared" si="16"/>
        <v>1</v>
      </c>
      <c r="DB62">
        <f t="shared" si="12"/>
        <v>0</v>
      </c>
      <c r="DC62">
        <f t="shared" si="13"/>
        <v>0</v>
      </c>
      <c r="DD62" t="s">
        <v>3</v>
      </c>
      <c r="DE62" t="s">
        <v>3</v>
      </c>
      <c r="DF62">
        <f t="shared" si="17"/>
        <v>0</v>
      </c>
      <c r="DG62">
        <f t="shared" si="9"/>
        <v>0</v>
      </c>
      <c r="DH62">
        <f t="shared" si="10"/>
        <v>0</v>
      </c>
      <c r="DI62">
        <f t="shared" si="8"/>
        <v>0</v>
      </c>
      <c r="DJ62">
        <f t="shared" si="18"/>
        <v>0</v>
      </c>
      <c r="DK62">
        <v>0</v>
      </c>
    </row>
    <row r="63" spans="1:115" x14ac:dyDescent="0.2">
      <c r="A63">
        <f>ROW(Source!A172)</f>
        <v>172</v>
      </c>
      <c r="B63">
        <v>59267179</v>
      </c>
      <c r="C63">
        <v>59273005</v>
      </c>
      <c r="D63">
        <v>30515951</v>
      </c>
      <c r="E63">
        <v>30515945</v>
      </c>
      <c r="F63">
        <v>1</v>
      </c>
      <c r="G63">
        <v>30515945</v>
      </c>
      <c r="H63">
        <v>1</v>
      </c>
      <c r="I63" t="s">
        <v>283</v>
      </c>
      <c r="J63" t="s">
        <v>3</v>
      </c>
      <c r="K63" t="s">
        <v>284</v>
      </c>
      <c r="L63">
        <v>1191</v>
      </c>
      <c r="N63">
        <v>1013</v>
      </c>
      <c r="O63" t="s">
        <v>285</v>
      </c>
      <c r="P63" t="s">
        <v>285</v>
      </c>
      <c r="Q63">
        <v>1</v>
      </c>
      <c r="W63">
        <v>0</v>
      </c>
      <c r="X63">
        <v>476480486</v>
      </c>
      <c r="Y63">
        <f t="shared" si="11"/>
        <v>4.5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1</v>
      </c>
      <c r="AJ63">
        <v>1</v>
      </c>
      <c r="AK63">
        <v>1</v>
      </c>
      <c r="AL63">
        <v>1</v>
      </c>
      <c r="AN63">
        <v>0</v>
      </c>
      <c r="AO63">
        <v>1</v>
      </c>
      <c r="AP63">
        <v>0</v>
      </c>
      <c r="AQ63">
        <v>0</v>
      </c>
      <c r="AR63">
        <v>0</v>
      </c>
      <c r="AS63" t="s">
        <v>3</v>
      </c>
      <c r="AT63">
        <v>4.5</v>
      </c>
      <c r="AU63" t="s">
        <v>3</v>
      </c>
      <c r="AV63">
        <v>1</v>
      </c>
      <c r="AW63">
        <v>2</v>
      </c>
      <c r="AX63">
        <v>59273006</v>
      </c>
      <c r="AY63">
        <v>1</v>
      </c>
      <c r="AZ63">
        <v>0</v>
      </c>
      <c r="BA63">
        <v>56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X63">
        <f>ROUND(Y63*Source!I172,9)</f>
        <v>13.5</v>
      </c>
      <c r="CY63">
        <f t="shared" si="14"/>
        <v>0</v>
      </c>
      <c r="CZ63">
        <f t="shared" si="15"/>
        <v>0</v>
      </c>
      <c r="DA63">
        <f t="shared" si="16"/>
        <v>1</v>
      </c>
      <c r="DB63">
        <f t="shared" si="12"/>
        <v>0</v>
      </c>
      <c r="DC63">
        <f t="shared" si="13"/>
        <v>0</v>
      </c>
      <c r="DD63" t="s">
        <v>3</v>
      </c>
      <c r="DE63" t="s">
        <v>3</v>
      </c>
      <c r="DF63">
        <f t="shared" si="17"/>
        <v>0</v>
      </c>
      <c r="DG63">
        <f t="shared" si="9"/>
        <v>0</v>
      </c>
      <c r="DH63">
        <f t="shared" si="10"/>
        <v>0</v>
      </c>
      <c r="DI63">
        <f t="shared" si="8"/>
        <v>0</v>
      </c>
      <c r="DJ63">
        <f t="shared" si="18"/>
        <v>0</v>
      </c>
      <c r="DK63">
        <v>0</v>
      </c>
    </row>
    <row r="64" spans="1:115" x14ac:dyDescent="0.2">
      <c r="A64">
        <f>ROW(Source!A173)</f>
        <v>173</v>
      </c>
      <c r="B64">
        <v>59267179</v>
      </c>
      <c r="C64">
        <v>59273651</v>
      </c>
      <c r="D64">
        <v>30515951</v>
      </c>
      <c r="E64">
        <v>30515945</v>
      </c>
      <c r="F64">
        <v>1</v>
      </c>
      <c r="G64">
        <v>30515945</v>
      </c>
      <c r="H64">
        <v>1</v>
      </c>
      <c r="I64" t="s">
        <v>283</v>
      </c>
      <c r="J64" t="s">
        <v>3</v>
      </c>
      <c r="K64" t="s">
        <v>284</v>
      </c>
      <c r="L64">
        <v>1191</v>
      </c>
      <c r="N64">
        <v>1013</v>
      </c>
      <c r="O64" t="s">
        <v>285</v>
      </c>
      <c r="P64" t="s">
        <v>285</v>
      </c>
      <c r="Q64">
        <v>1</v>
      </c>
      <c r="W64">
        <v>0</v>
      </c>
      <c r="X64">
        <v>476480486</v>
      </c>
      <c r="Y64">
        <f t="shared" si="11"/>
        <v>57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1</v>
      </c>
      <c r="AJ64">
        <v>1</v>
      </c>
      <c r="AK64">
        <v>1</v>
      </c>
      <c r="AL64">
        <v>1</v>
      </c>
      <c r="AN64">
        <v>0</v>
      </c>
      <c r="AO64">
        <v>1</v>
      </c>
      <c r="AP64">
        <v>0</v>
      </c>
      <c r="AQ64">
        <v>0</v>
      </c>
      <c r="AR64">
        <v>0</v>
      </c>
      <c r="AS64" t="s">
        <v>3</v>
      </c>
      <c r="AT64">
        <v>57</v>
      </c>
      <c r="AU64" t="s">
        <v>3</v>
      </c>
      <c r="AV64">
        <v>1</v>
      </c>
      <c r="AW64">
        <v>2</v>
      </c>
      <c r="AX64">
        <v>59273652</v>
      </c>
      <c r="AY64">
        <v>1</v>
      </c>
      <c r="AZ64">
        <v>0</v>
      </c>
      <c r="BA64">
        <v>57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X64">
        <f>ROUND(Y64*Source!I173,9)</f>
        <v>57</v>
      </c>
      <c r="CY64">
        <f t="shared" si="14"/>
        <v>0</v>
      </c>
      <c r="CZ64">
        <f t="shared" si="15"/>
        <v>0</v>
      </c>
      <c r="DA64">
        <f t="shared" si="16"/>
        <v>1</v>
      </c>
      <c r="DB64">
        <f t="shared" si="12"/>
        <v>0</v>
      </c>
      <c r="DC64">
        <f t="shared" si="13"/>
        <v>0</v>
      </c>
      <c r="DD64" t="s">
        <v>3</v>
      </c>
      <c r="DE64" t="s">
        <v>3</v>
      </c>
      <c r="DF64">
        <f t="shared" si="17"/>
        <v>0</v>
      </c>
      <c r="DG64">
        <f t="shared" si="9"/>
        <v>0</v>
      </c>
      <c r="DH64">
        <f t="shared" si="10"/>
        <v>0</v>
      </c>
      <c r="DI64">
        <f t="shared" si="8"/>
        <v>0</v>
      </c>
      <c r="DJ64">
        <f t="shared" si="18"/>
        <v>0</v>
      </c>
      <c r="DK64">
        <v>0</v>
      </c>
    </row>
    <row r="65" spans="1:115" x14ac:dyDescent="0.2">
      <c r="A65">
        <f>ROW(Source!A174)</f>
        <v>174</v>
      </c>
      <c r="B65">
        <v>59267179</v>
      </c>
      <c r="C65">
        <v>59273658</v>
      </c>
      <c r="D65">
        <v>30515951</v>
      </c>
      <c r="E65">
        <v>30515945</v>
      </c>
      <c r="F65">
        <v>1</v>
      </c>
      <c r="G65">
        <v>30515945</v>
      </c>
      <c r="H65">
        <v>1</v>
      </c>
      <c r="I65" t="s">
        <v>283</v>
      </c>
      <c r="J65" t="s">
        <v>3</v>
      </c>
      <c r="K65" t="s">
        <v>284</v>
      </c>
      <c r="L65">
        <v>1191</v>
      </c>
      <c r="N65">
        <v>1013</v>
      </c>
      <c r="O65" t="s">
        <v>285</v>
      </c>
      <c r="P65" t="s">
        <v>285</v>
      </c>
      <c r="Q65">
        <v>1</v>
      </c>
      <c r="W65">
        <v>0</v>
      </c>
      <c r="X65">
        <v>476480486</v>
      </c>
      <c r="Y65">
        <f t="shared" si="11"/>
        <v>1.8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1</v>
      </c>
      <c r="AJ65">
        <v>1</v>
      </c>
      <c r="AK65">
        <v>1</v>
      </c>
      <c r="AL65">
        <v>1</v>
      </c>
      <c r="AN65">
        <v>0</v>
      </c>
      <c r="AO65">
        <v>1</v>
      </c>
      <c r="AP65">
        <v>0</v>
      </c>
      <c r="AQ65">
        <v>0</v>
      </c>
      <c r="AR65">
        <v>0</v>
      </c>
      <c r="AS65" t="s">
        <v>3</v>
      </c>
      <c r="AT65">
        <v>1.8</v>
      </c>
      <c r="AU65" t="s">
        <v>3</v>
      </c>
      <c r="AV65">
        <v>1</v>
      </c>
      <c r="AW65">
        <v>2</v>
      </c>
      <c r="AX65">
        <v>59273659</v>
      </c>
      <c r="AY65">
        <v>1</v>
      </c>
      <c r="AZ65">
        <v>0</v>
      </c>
      <c r="BA65">
        <v>58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X65">
        <f>ROUND(Y65*Source!I174,9)</f>
        <v>3.6</v>
      </c>
      <c r="CY65">
        <f t="shared" si="14"/>
        <v>0</v>
      </c>
      <c r="CZ65">
        <f t="shared" si="15"/>
        <v>0</v>
      </c>
      <c r="DA65">
        <f t="shared" si="16"/>
        <v>1</v>
      </c>
      <c r="DB65">
        <f t="shared" si="12"/>
        <v>0</v>
      </c>
      <c r="DC65">
        <f t="shared" si="13"/>
        <v>0</v>
      </c>
      <c r="DD65" t="s">
        <v>3</v>
      </c>
      <c r="DE65" t="s">
        <v>3</v>
      </c>
      <c r="DF65">
        <f t="shared" si="17"/>
        <v>0</v>
      </c>
      <c r="DG65">
        <f t="shared" si="9"/>
        <v>0</v>
      </c>
      <c r="DH65">
        <f t="shared" si="10"/>
        <v>0</v>
      </c>
      <c r="DI65">
        <f t="shared" si="8"/>
        <v>0</v>
      </c>
      <c r="DJ65">
        <f t="shared" si="18"/>
        <v>0</v>
      </c>
      <c r="DK65">
        <v>0</v>
      </c>
    </row>
    <row r="66" spans="1:115" x14ac:dyDescent="0.2">
      <c r="A66">
        <f>ROW(Source!A175)</f>
        <v>175</v>
      </c>
      <c r="B66">
        <v>59267179</v>
      </c>
      <c r="C66">
        <v>59273661</v>
      </c>
      <c r="D66">
        <v>30515951</v>
      </c>
      <c r="E66">
        <v>30515945</v>
      </c>
      <c r="F66">
        <v>1</v>
      </c>
      <c r="G66">
        <v>30515945</v>
      </c>
      <c r="H66">
        <v>1</v>
      </c>
      <c r="I66" t="s">
        <v>283</v>
      </c>
      <c r="J66" t="s">
        <v>3</v>
      </c>
      <c r="K66" t="s">
        <v>284</v>
      </c>
      <c r="L66">
        <v>1191</v>
      </c>
      <c r="N66">
        <v>1013</v>
      </c>
      <c r="O66" t="s">
        <v>285</v>
      </c>
      <c r="P66" t="s">
        <v>285</v>
      </c>
      <c r="Q66">
        <v>1</v>
      </c>
      <c r="W66">
        <v>0</v>
      </c>
      <c r="X66">
        <v>476480486</v>
      </c>
      <c r="Y66">
        <f t="shared" si="11"/>
        <v>0.15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1</v>
      </c>
      <c r="AJ66">
        <v>1</v>
      </c>
      <c r="AK66">
        <v>1</v>
      </c>
      <c r="AL66">
        <v>1</v>
      </c>
      <c r="AN66">
        <v>0</v>
      </c>
      <c r="AO66">
        <v>1</v>
      </c>
      <c r="AP66">
        <v>0</v>
      </c>
      <c r="AQ66">
        <v>0</v>
      </c>
      <c r="AR66">
        <v>0</v>
      </c>
      <c r="AS66" t="s">
        <v>3</v>
      </c>
      <c r="AT66">
        <v>0.15</v>
      </c>
      <c r="AU66" t="s">
        <v>3</v>
      </c>
      <c r="AV66">
        <v>1</v>
      </c>
      <c r="AW66">
        <v>2</v>
      </c>
      <c r="AX66">
        <v>59273662</v>
      </c>
      <c r="AY66">
        <v>1</v>
      </c>
      <c r="AZ66">
        <v>0</v>
      </c>
      <c r="BA66">
        <v>59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X66">
        <f>ROUND(Y66*Source!I175,9)</f>
        <v>3</v>
      </c>
      <c r="CY66">
        <f t="shared" si="14"/>
        <v>0</v>
      </c>
      <c r="CZ66">
        <f t="shared" si="15"/>
        <v>0</v>
      </c>
      <c r="DA66">
        <f t="shared" si="16"/>
        <v>1</v>
      </c>
      <c r="DB66">
        <f t="shared" si="12"/>
        <v>0</v>
      </c>
      <c r="DC66">
        <f t="shared" si="13"/>
        <v>0</v>
      </c>
      <c r="DD66" t="s">
        <v>3</v>
      </c>
      <c r="DE66" t="s">
        <v>3</v>
      </c>
      <c r="DF66">
        <f t="shared" si="17"/>
        <v>0</v>
      </c>
      <c r="DG66">
        <f t="shared" si="9"/>
        <v>0</v>
      </c>
      <c r="DH66">
        <f t="shared" si="10"/>
        <v>0</v>
      </c>
      <c r="DI66">
        <f t="shared" si="8"/>
        <v>0</v>
      </c>
      <c r="DJ66">
        <f t="shared" si="18"/>
        <v>0</v>
      </c>
      <c r="DK66">
        <v>0</v>
      </c>
    </row>
    <row r="267" spans="9:9" x14ac:dyDescent="0.2">
      <c r="I267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9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ROW(Source!A28)</f>
        <v>28</v>
      </c>
      <c r="B1">
        <v>59267404</v>
      </c>
      <c r="C1">
        <v>59267403</v>
      </c>
      <c r="D1">
        <v>30515951</v>
      </c>
      <c r="E1">
        <v>30515945</v>
      </c>
      <c r="F1">
        <v>1</v>
      </c>
      <c r="G1">
        <v>30515945</v>
      </c>
      <c r="H1">
        <v>1</v>
      </c>
      <c r="I1" t="s">
        <v>283</v>
      </c>
      <c r="J1" t="s">
        <v>3</v>
      </c>
      <c r="K1" t="s">
        <v>284</v>
      </c>
      <c r="L1">
        <v>1191</v>
      </c>
      <c r="N1">
        <v>1013</v>
      </c>
      <c r="O1" t="s">
        <v>285</v>
      </c>
      <c r="P1" t="s">
        <v>285</v>
      </c>
      <c r="Q1">
        <v>1</v>
      </c>
      <c r="X1">
        <v>82.5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24</v>
      </c>
      <c r="AG1">
        <v>24.75</v>
      </c>
      <c r="AH1">
        <v>2</v>
      </c>
      <c r="AI1">
        <v>59267404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ROW(Source!A28)</f>
        <v>28</v>
      </c>
      <c r="B2">
        <v>59267405</v>
      </c>
      <c r="C2">
        <v>59267403</v>
      </c>
      <c r="D2">
        <v>30596074</v>
      </c>
      <c r="E2">
        <v>1</v>
      </c>
      <c r="F2">
        <v>1</v>
      </c>
      <c r="G2">
        <v>30515945</v>
      </c>
      <c r="H2">
        <v>2</v>
      </c>
      <c r="I2" t="s">
        <v>286</v>
      </c>
      <c r="J2" t="s">
        <v>287</v>
      </c>
      <c r="K2" t="s">
        <v>288</v>
      </c>
      <c r="L2">
        <v>1368</v>
      </c>
      <c r="N2">
        <v>1011</v>
      </c>
      <c r="O2" t="s">
        <v>289</v>
      </c>
      <c r="P2" t="s">
        <v>289</v>
      </c>
      <c r="Q2">
        <v>1</v>
      </c>
      <c r="X2">
        <v>3.78</v>
      </c>
      <c r="Y2">
        <v>0</v>
      </c>
      <c r="Z2">
        <v>76.81</v>
      </c>
      <c r="AA2">
        <v>14.36</v>
      </c>
      <c r="AB2">
        <v>0</v>
      </c>
      <c r="AC2">
        <v>0</v>
      </c>
      <c r="AD2">
        <v>1</v>
      </c>
      <c r="AE2">
        <v>0</v>
      </c>
      <c r="AF2" t="s">
        <v>24</v>
      </c>
      <c r="AG2">
        <v>1.1339999999999999</v>
      </c>
      <c r="AH2">
        <v>2</v>
      </c>
      <c r="AI2">
        <v>59267405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ROW(Source!A28)</f>
        <v>28</v>
      </c>
      <c r="B3">
        <v>59267406</v>
      </c>
      <c r="C3">
        <v>59267403</v>
      </c>
      <c r="D3">
        <v>55357527</v>
      </c>
      <c r="E3">
        <v>1</v>
      </c>
      <c r="F3">
        <v>1</v>
      </c>
      <c r="G3">
        <v>30515945</v>
      </c>
      <c r="H3">
        <v>2</v>
      </c>
      <c r="I3" t="s">
        <v>290</v>
      </c>
      <c r="J3" t="s">
        <v>291</v>
      </c>
      <c r="K3" t="s">
        <v>292</v>
      </c>
      <c r="L3">
        <v>1368</v>
      </c>
      <c r="N3">
        <v>1011</v>
      </c>
      <c r="O3" t="s">
        <v>289</v>
      </c>
      <c r="P3" t="s">
        <v>289</v>
      </c>
      <c r="Q3">
        <v>1</v>
      </c>
      <c r="X3">
        <v>2.2200000000000002</v>
      </c>
      <c r="Y3">
        <v>0</v>
      </c>
      <c r="Z3">
        <v>165.53</v>
      </c>
      <c r="AA3">
        <v>15.11</v>
      </c>
      <c r="AB3">
        <v>0</v>
      </c>
      <c r="AC3">
        <v>0</v>
      </c>
      <c r="AD3">
        <v>1</v>
      </c>
      <c r="AE3">
        <v>0</v>
      </c>
      <c r="AF3" t="s">
        <v>24</v>
      </c>
      <c r="AG3">
        <v>0.66600000000000004</v>
      </c>
      <c r="AH3">
        <v>2</v>
      </c>
      <c r="AI3">
        <v>59267406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ROW(Source!A28)</f>
        <v>28</v>
      </c>
      <c r="B4">
        <v>59267407</v>
      </c>
      <c r="C4">
        <v>59267403</v>
      </c>
      <c r="D4">
        <v>30542113</v>
      </c>
      <c r="E4">
        <v>30515945</v>
      </c>
      <c r="F4">
        <v>1</v>
      </c>
      <c r="G4">
        <v>30515945</v>
      </c>
      <c r="H4">
        <v>3</v>
      </c>
      <c r="I4" t="s">
        <v>293</v>
      </c>
      <c r="J4" t="s">
        <v>3</v>
      </c>
      <c r="K4" t="s">
        <v>294</v>
      </c>
      <c r="L4">
        <v>1354</v>
      </c>
      <c r="N4">
        <v>1010</v>
      </c>
      <c r="O4" t="s">
        <v>208</v>
      </c>
      <c r="P4" t="s">
        <v>208</v>
      </c>
      <c r="Q4">
        <v>1</v>
      </c>
      <c r="X4">
        <v>100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 t="s">
        <v>23</v>
      </c>
      <c r="AG4">
        <v>0</v>
      </c>
      <c r="AH4">
        <v>2</v>
      </c>
      <c r="AI4">
        <v>59267407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ROW(Source!A29)</f>
        <v>29</v>
      </c>
      <c r="B5">
        <v>59267417</v>
      </c>
      <c r="C5">
        <v>59267416</v>
      </c>
      <c r="D5">
        <v>30515951</v>
      </c>
      <c r="E5">
        <v>30515945</v>
      </c>
      <c r="F5">
        <v>1</v>
      </c>
      <c r="G5">
        <v>30515945</v>
      </c>
      <c r="H5">
        <v>1</v>
      </c>
      <c r="I5" t="s">
        <v>283</v>
      </c>
      <c r="J5" t="s">
        <v>3</v>
      </c>
      <c r="K5" t="s">
        <v>284</v>
      </c>
      <c r="L5">
        <v>1191</v>
      </c>
      <c r="N5">
        <v>1013</v>
      </c>
      <c r="O5" t="s">
        <v>285</v>
      </c>
      <c r="P5" t="s">
        <v>285</v>
      </c>
      <c r="Q5">
        <v>1</v>
      </c>
      <c r="X5">
        <v>42.7</v>
      </c>
      <c r="Y5">
        <v>0</v>
      </c>
      <c r="Z5">
        <v>0</v>
      </c>
      <c r="AA5">
        <v>0</v>
      </c>
      <c r="AB5">
        <v>0</v>
      </c>
      <c r="AC5">
        <v>0</v>
      </c>
      <c r="AD5">
        <v>1</v>
      </c>
      <c r="AE5">
        <v>1</v>
      </c>
      <c r="AF5" t="s">
        <v>24</v>
      </c>
      <c r="AG5">
        <v>12.81</v>
      </c>
      <c r="AH5">
        <v>2</v>
      </c>
      <c r="AI5">
        <v>59267417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ROW(Source!A29)</f>
        <v>29</v>
      </c>
      <c r="B6">
        <v>59267418</v>
      </c>
      <c r="C6">
        <v>59267416</v>
      </c>
      <c r="D6">
        <v>30595787</v>
      </c>
      <c r="E6">
        <v>1</v>
      </c>
      <c r="F6">
        <v>1</v>
      </c>
      <c r="G6">
        <v>30515945</v>
      </c>
      <c r="H6">
        <v>2</v>
      </c>
      <c r="I6" t="s">
        <v>295</v>
      </c>
      <c r="J6" t="s">
        <v>296</v>
      </c>
      <c r="K6" t="s">
        <v>297</v>
      </c>
      <c r="L6">
        <v>1368</v>
      </c>
      <c r="N6">
        <v>1011</v>
      </c>
      <c r="O6" t="s">
        <v>289</v>
      </c>
      <c r="P6" t="s">
        <v>289</v>
      </c>
      <c r="Q6">
        <v>1</v>
      </c>
      <c r="X6">
        <v>18.32</v>
      </c>
      <c r="Y6">
        <v>0</v>
      </c>
      <c r="Z6">
        <v>4.8600000000000003</v>
      </c>
      <c r="AA6">
        <v>0</v>
      </c>
      <c r="AB6">
        <v>0</v>
      </c>
      <c r="AC6">
        <v>0</v>
      </c>
      <c r="AD6">
        <v>1</v>
      </c>
      <c r="AE6">
        <v>0</v>
      </c>
      <c r="AF6" t="s">
        <v>24</v>
      </c>
      <c r="AG6">
        <v>5.4959999999999996</v>
      </c>
      <c r="AH6">
        <v>2</v>
      </c>
      <c r="AI6">
        <v>59267418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ROW(Source!A29)</f>
        <v>29</v>
      </c>
      <c r="B7">
        <v>59267419</v>
      </c>
      <c r="C7">
        <v>59267416</v>
      </c>
      <c r="D7">
        <v>30596074</v>
      </c>
      <c r="E7">
        <v>1</v>
      </c>
      <c r="F7">
        <v>1</v>
      </c>
      <c r="G7">
        <v>30515945</v>
      </c>
      <c r="H7">
        <v>2</v>
      </c>
      <c r="I7" t="s">
        <v>286</v>
      </c>
      <c r="J7" t="s">
        <v>287</v>
      </c>
      <c r="K7" t="s">
        <v>288</v>
      </c>
      <c r="L7">
        <v>1368</v>
      </c>
      <c r="N7">
        <v>1011</v>
      </c>
      <c r="O7" t="s">
        <v>289</v>
      </c>
      <c r="P7" t="s">
        <v>289</v>
      </c>
      <c r="Q7">
        <v>1</v>
      </c>
      <c r="X7">
        <v>0.94</v>
      </c>
      <c r="Y7">
        <v>0</v>
      </c>
      <c r="Z7">
        <v>76.81</v>
      </c>
      <c r="AA7">
        <v>14.36</v>
      </c>
      <c r="AB7">
        <v>0</v>
      </c>
      <c r="AC7">
        <v>0</v>
      </c>
      <c r="AD7">
        <v>1</v>
      </c>
      <c r="AE7">
        <v>0</v>
      </c>
      <c r="AF7" t="s">
        <v>24</v>
      </c>
      <c r="AG7">
        <v>0.28199999999999997</v>
      </c>
      <c r="AH7">
        <v>2</v>
      </c>
      <c r="AI7">
        <v>59267419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ROW(Source!A29)</f>
        <v>29</v>
      </c>
      <c r="B8">
        <v>59267420</v>
      </c>
      <c r="C8">
        <v>59267416</v>
      </c>
      <c r="D8">
        <v>30572493</v>
      </c>
      <c r="E8">
        <v>1</v>
      </c>
      <c r="F8">
        <v>1</v>
      </c>
      <c r="G8">
        <v>30515945</v>
      </c>
      <c r="H8">
        <v>3</v>
      </c>
      <c r="I8" t="s">
        <v>298</v>
      </c>
      <c r="J8" t="s">
        <v>299</v>
      </c>
      <c r="K8" t="s">
        <v>300</v>
      </c>
      <c r="L8">
        <v>1348</v>
      </c>
      <c r="N8">
        <v>1009</v>
      </c>
      <c r="O8" t="s">
        <v>64</v>
      </c>
      <c r="P8" t="s">
        <v>64</v>
      </c>
      <c r="Q8">
        <v>1000</v>
      </c>
      <c r="X8">
        <v>0.04</v>
      </c>
      <c r="Y8">
        <v>7191.81</v>
      </c>
      <c r="Z8">
        <v>0</v>
      </c>
      <c r="AA8">
        <v>0</v>
      </c>
      <c r="AB8">
        <v>0</v>
      </c>
      <c r="AC8">
        <v>0</v>
      </c>
      <c r="AD8">
        <v>1</v>
      </c>
      <c r="AE8">
        <v>0</v>
      </c>
      <c r="AF8" t="s">
        <v>23</v>
      </c>
      <c r="AG8">
        <v>0</v>
      </c>
      <c r="AH8">
        <v>2</v>
      </c>
      <c r="AI8">
        <v>59267420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ROW(Source!A29)</f>
        <v>29</v>
      </c>
      <c r="B9">
        <v>59267421</v>
      </c>
      <c r="C9">
        <v>59267416</v>
      </c>
      <c r="D9">
        <v>30542328</v>
      </c>
      <c r="E9">
        <v>30515945</v>
      </c>
      <c r="F9">
        <v>1</v>
      </c>
      <c r="G9">
        <v>30515945</v>
      </c>
      <c r="H9">
        <v>3</v>
      </c>
      <c r="I9" t="s">
        <v>301</v>
      </c>
      <c r="J9" t="s">
        <v>3</v>
      </c>
      <c r="K9" t="s">
        <v>302</v>
      </c>
      <c r="L9">
        <v>1348</v>
      </c>
      <c r="N9">
        <v>1009</v>
      </c>
      <c r="O9" t="s">
        <v>64</v>
      </c>
      <c r="P9" t="s">
        <v>64</v>
      </c>
      <c r="Q9">
        <v>1000</v>
      </c>
      <c r="X9">
        <v>1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 t="s">
        <v>23</v>
      </c>
      <c r="AG9">
        <v>0</v>
      </c>
      <c r="AH9">
        <v>2</v>
      </c>
      <c r="AI9">
        <v>59267421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ROW(Source!A30)</f>
        <v>30</v>
      </c>
      <c r="B10">
        <v>59267473</v>
      </c>
      <c r="C10">
        <v>59267472</v>
      </c>
      <c r="D10">
        <v>30515951</v>
      </c>
      <c r="E10">
        <v>30515945</v>
      </c>
      <c r="F10">
        <v>1</v>
      </c>
      <c r="G10">
        <v>30515945</v>
      </c>
      <c r="H10">
        <v>1</v>
      </c>
      <c r="I10" t="s">
        <v>283</v>
      </c>
      <c r="J10" t="s">
        <v>3</v>
      </c>
      <c r="K10" t="s">
        <v>284</v>
      </c>
      <c r="L10">
        <v>1191</v>
      </c>
      <c r="N10">
        <v>1013</v>
      </c>
      <c r="O10" t="s">
        <v>285</v>
      </c>
      <c r="P10" t="s">
        <v>285</v>
      </c>
      <c r="Q10">
        <v>1</v>
      </c>
      <c r="X10">
        <v>27.8</v>
      </c>
      <c r="Y10">
        <v>0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1</v>
      </c>
      <c r="AF10" t="s">
        <v>24</v>
      </c>
      <c r="AG10">
        <v>8.34</v>
      </c>
      <c r="AH10">
        <v>2</v>
      </c>
      <c r="AI10">
        <v>59267473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ROW(Source!A31)</f>
        <v>31</v>
      </c>
      <c r="B11">
        <v>59267526</v>
      </c>
      <c r="C11">
        <v>59267525</v>
      </c>
      <c r="D11">
        <v>30515951</v>
      </c>
      <c r="E11">
        <v>30515945</v>
      </c>
      <c r="F11">
        <v>1</v>
      </c>
      <c r="G11">
        <v>30515945</v>
      </c>
      <c r="H11">
        <v>1</v>
      </c>
      <c r="I11" t="s">
        <v>283</v>
      </c>
      <c r="J11" t="s">
        <v>3</v>
      </c>
      <c r="K11" t="s">
        <v>284</v>
      </c>
      <c r="L11">
        <v>1191</v>
      </c>
      <c r="N11">
        <v>1013</v>
      </c>
      <c r="O11" t="s">
        <v>285</v>
      </c>
      <c r="P11" t="s">
        <v>285</v>
      </c>
      <c r="Q11">
        <v>1</v>
      </c>
      <c r="X11">
        <v>27.6</v>
      </c>
      <c r="Y11">
        <v>0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1</v>
      </c>
      <c r="AF11" t="s">
        <v>24</v>
      </c>
      <c r="AG11">
        <v>8.2799999999999994</v>
      </c>
      <c r="AH11">
        <v>2</v>
      </c>
      <c r="AI11">
        <v>59267526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ROW(Source!A32)</f>
        <v>32</v>
      </c>
      <c r="B12">
        <v>59268157</v>
      </c>
      <c r="C12">
        <v>59268156</v>
      </c>
      <c r="D12">
        <v>30515951</v>
      </c>
      <c r="E12">
        <v>30515945</v>
      </c>
      <c r="F12">
        <v>1</v>
      </c>
      <c r="G12">
        <v>30515945</v>
      </c>
      <c r="H12">
        <v>1</v>
      </c>
      <c r="I12" t="s">
        <v>283</v>
      </c>
      <c r="J12" t="s">
        <v>3</v>
      </c>
      <c r="K12" t="s">
        <v>284</v>
      </c>
      <c r="L12">
        <v>1191</v>
      </c>
      <c r="N12">
        <v>1013</v>
      </c>
      <c r="O12" t="s">
        <v>285</v>
      </c>
      <c r="P12" t="s">
        <v>285</v>
      </c>
      <c r="Q12">
        <v>1</v>
      </c>
      <c r="X12">
        <v>1.02</v>
      </c>
      <c r="Y12">
        <v>0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1</v>
      </c>
      <c r="AF12" t="s">
        <v>3</v>
      </c>
      <c r="AG12">
        <v>1.02</v>
      </c>
      <c r="AH12">
        <v>2</v>
      </c>
      <c r="AI12">
        <v>59268157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ROW(Source!A33)</f>
        <v>33</v>
      </c>
      <c r="B13">
        <v>59271562</v>
      </c>
      <c r="C13">
        <v>59271561</v>
      </c>
      <c r="D13">
        <v>30516999</v>
      </c>
      <c r="E13">
        <v>30515945</v>
      </c>
      <c r="F13">
        <v>1</v>
      </c>
      <c r="G13">
        <v>30515945</v>
      </c>
      <c r="H13">
        <v>2</v>
      </c>
      <c r="I13" t="s">
        <v>303</v>
      </c>
      <c r="J13" t="s">
        <v>3</v>
      </c>
      <c r="K13" t="s">
        <v>304</v>
      </c>
      <c r="L13">
        <v>1344</v>
      </c>
      <c r="N13">
        <v>1008</v>
      </c>
      <c r="O13" t="s">
        <v>305</v>
      </c>
      <c r="P13" t="s">
        <v>305</v>
      </c>
      <c r="Q13">
        <v>1</v>
      </c>
      <c r="X13">
        <v>20.54</v>
      </c>
      <c r="Y13">
        <v>0</v>
      </c>
      <c r="Z13">
        <v>1</v>
      </c>
      <c r="AA13">
        <v>0</v>
      </c>
      <c r="AB13">
        <v>0</v>
      </c>
      <c r="AC13">
        <v>0</v>
      </c>
      <c r="AD13">
        <v>1</v>
      </c>
      <c r="AE13">
        <v>0</v>
      </c>
      <c r="AF13" t="s">
        <v>3</v>
      </c>
      <c r="AG13">
        <v>20.54</v>
      </c>
      <c r="AH13">
        <v>2</v>
      </c>
      <c r="AI13">
        <v>59271562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ROW(Source!A70)</f>
        <v>70</v>
      </c>
      <c r="B14">
        <v>59267782</v>
      </c>
      <c r="C14">
        <v>59267781</v>
      </c>
      <c r="D14">
        <v>30515951</v>
      </c>
      <c r="E14">
        <v>30515945</v>
      </c>
      <c r="F14">
        <v>1</v>
      </c>
      <c r="G14">
        <v>30515945</v>
      </c>
      <c r="H14">
        <v>1</v>
      </c>
      <c r="I14" t="s">
        <v>283</v>
      </c>
      <c r="J14" t="s">
        <v>3</v>
      </c>
      <c r="K14" t="s">
        <v>284</v>
      </c>
      <c r="L14">
        <v>1191</v>
      </c>
      <c r="N14">
        <v>1013</v>
      </c>
      <c r="O14" t="s">
        <v>285</v>
      </c>
      <c r="P14" t="s">
        <v>285</v>
      </c>
      <c r="Q14">
        <v>1</v>
      </c>
      <c r="X14">
        <v>0.78</v>
      </c>
      <c r="Y14">
        <v>0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1</v>
      </c>
      <c r="AF14" t="s">
        <v>3</v>
      </c>
      <c r="AG14">
        <v>0.78</v>
      </c>
      <c r="AH14">
        <v>2</v>
      </c>
      <c r="AI14">
        <v>59267782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ROW(Source!A70)</f>
        <v>70</v>
      </c>
      <c r="B15">
        <v>59267783</v>
      </c>
      <c r="C15">
        <v>59267781</v>
      </c>
      <c r="D15">
        <v>30595692</v>
      </c>
      <c r="E15">
        <v>1</v>
      </c>
      <c r="F15">
        <v>1</v>
      </c>
      <c r="G15">
        <v>30515945</v>
      </c>
      <c r="H15">
        <v>2</v>
      </c>
      <c r="I15" t="s">
        <v>306</v>
      </c>
      <c r="J15" t="s">
        <v>307</v>
      </c>
      <c r="K15" t="s">
        <v>308</v>
      </c>
      <c r="L15">
        <v>1368</v>
      </c>
      <c r="N15">
        <v>1011</v>
      </c>
      <c r="O15" t="s">
        <v>289</v>
      </c>
      <c r="P15" t="s">
        <v>289</v>
      </c>
      <c r="Q15">
        <v>1</v>
      </c>
      <c r="X15">
        <v>0.18</v>
      </c>
      <c r="Y15">
        <v>0</v>
      </c>
      <c r="Z15">
        <v>33.35</v>
      </c>
      <c r="AA15">
        <v>12.67</v>
      </c>
      <c r="AB15">
        <v>0</v>
      </c>
      <c r="AC15">
        <v>0</v>
      </c>
      <c r="AD15">
        <v>1</v>
      </c>
      <c r="AE15">
        <v>0</v>
      </c>
      <c r="AF15" t="s">
        <v>3</v>
      </c>
      <c r="AG15">
        <v>0.18</v>
      </c>
      <c r="AH15">
        <v>2</v>
      </c>
      <c r="AI15">
        <v>59267783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ROW(Source!A70)</f>
        <v>70</v>
      </c>
      <c r="B16">
        <v>59267784</v>
      </c>
      <c r="C16">
        <v>59267781</v>
      </c>
      <c r="D16">
        <v>30596103</v>
      </c>
      <c r="E16">
        <v>1</v>
      </c>
      <c r="F16">
        <v>1</v>
      </c>
      <c r="G16">
        <v>30515945</v>
      </c>
      <c r="H16">
        <v>2</v>
      </c>
      <c r="I16" t="s">
        <v>309</v>
      </c>
      <c r="J16" t="s">
        <v>310</v>
      </c>
      <c r="K16" t="s">
        <v>311</v>
      </c>
      <c r="L16">
        <v>1368</v>
      </c>
      <c r="N16">
        <v>1011</v>
      </c>
      <c r="O16" t="s">
        <v>289</v>
      </c>
      <c r="P16" t="s">
        <v>289</v>
      </c>
      <c r="Q16">
        <v>1</v>
      </c>
      <c r="X16">
        <v>0.36</v>
      </c>
      <c r="Y16">
        <v>0</v>
      </c>
      <c r="Z16">
        <v>0.21</v>
      </c>
      <c r="AA16">
        <v>0</v>
      </c>
      <c r="AB16">
        <v>0</v>
      </c>
      <c r="AC16">
        <v>0</v>
      </c>
      <c r="AD16">
        <v>1</v>
      </c>
      <c r="AE16">
        <v>0</v>
      </c>
      <c r="AF16" t="s">
        <v>3</v>
      </c>
      <c r="AG16">
        <v>0.36</v>
      </c>
      <c r="AH16">
        <v>2</v>
      </c>
      <c r="AI16">
        <v>59267784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ROW(Source!A70)</f>
        <v>70</v>
      </c>
      <c r="B17">
        <v>59267785</v>
      </c>
      <c r="C17">
        <v>59267781</v>
      </c>
      <c r="D17">
        <v>30595410</v>
      </c>
      <c r="E17">
        <v>1</v>
      </c>
      <c r="F17">
        <v>1</v>
      </c>
      <c r="G17">
        <v>30515945</v>
      </c>
      <c r="H17">
        <v>2</v>
      </c>
      <c r="I17" t="s">
        <v>312</v>
      </c>
      <c r="J17" t="s">
        <v>313</v>
      </c>
      <c r="K17" t="s">
        <v>314</v>
      </c>
      <c r="L17">
        <v>1368</v>
      </c>
      <c r="N17">
        <v>1011</v>
      </c>
      <c r="O17" t="s">
        <v>289</v>
      </c>
      <c r="P17" t="s">
        <v>289</v>
      </c>
      <c r="Q17">
        <v>1</v>
      </c>
      <c r="X17">
        <v>7.0000000000000007E-2</v>
      </c>
      <c r="Y17">
        <v>0</v>
      </c>
      <c r="Z17">
        <v>130.5</v>
      </c>
      <c r="AA17">
        <v>14.91</v>
      </c>
      <c r="AB17">
        <v>0</v>
      </c>
      <c r="AC17">
        <v>0</v>
      </c>
      <c r="AD17">
        <v>1</v>
      </c>
      <c r="AE17">
        <v>0</v>
      </c>
      <c r="AF17" t="s">
        <v>3</v>
      </c>
      <c r="AG17">
        <v>7.0000000000000007E-2</v>
      </c>
      <c r="AH17">
        <v>2</v>
      </c>
      <c r="AI17">
        <v>59267785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ROW(Source!A70)</f>
        <v>70</v>
      </c>
      <c r="B18">
        <v>59267786</v>
      </c>
      <c r="C18">
        <v>59267781</v>
      </c>
      <c r="D18">
        <v>30516999</v>
      </c>
      <c r="E18">
        <v>30515945</v>
      </c>
      <c r="F18">
        <v>1</v>
      </c>
      <c r="G18">
        <v>30515945</v>
      </c>
      <c r="H18">
        <v>2</v>
      </c>
      <c r="I18" t="s">
        <v>303</v>
      </c>
      <c r="J18" t="s">
        <v>3</v>
      </c>
      <c r="K18" t="s">
        <v>304</v>
      </c>
      <c r="L18">
        <v>1344</v>
      </c>
      <c r="N18">
        <v>1008</v>
      </c>
      <c r="O18" t="s">
        <v>305</v>
      </c>
      <c r="P18" t="s">
        <v>305</v>
      </c>
      <c r="Q18">
        <v>1</v>
      </c>
      <c r="X18">
        <v>0.01</v>
      </c>
      <c r="Y18">
        <v>0</v>
      </c>
      <c r="Z18">
        <v>1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3</v>
      </c>
      <c r="AG18">
        <v>0.01</v>
      </c>
      <c r="AH18">
        <v>2</v>
      </c>
      <c r="AI18">
        <v>59267786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ROW(Source!A70)</f>
        <v>70</v>
      </c>
      <c r="B19">
        <v>59267787</v>
      </c>
      <c r="C19">
        <v>59267781</v>
      </c>
      <c r="D19">
        <v>30571181</v>
      </c>
      <c r="E19">
        <v>1</v>
      </c>
      <c r="F19">
        <v>1</v>
      </c>
      <c r="G19">
        <v>30515945</v>
      </c>
      <c r="H19">
        <v>3</v>
      </c>
      <c r="I19" t="s">
        <v>315</v>
      </c>
      <c r="J19" t="s">
        <v>316</v>
      </c>
      <c r="K19" t="s">
        <v>317</v>
      </c>
      <c r="L19">
        <v>1339</v>
      </c>
      <c r="N19">
        <v>1007</v>
      </c>
      <c r="O19" t="s">
        <v>135</v>
      </c>
      <c r="P19" t="s">
        <v>135</v>
      </c>
      <c r="Q19">
        <v>1</v>
      </c>
      <c r="X19">
        <v>0.15</v>
      </c>
      <c r="Y19">
        <v>7.07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0</v>
      </c>
      <c r="AF19" t="s">
        <v>3</v>
      </c>
      <c r="AG19">
        <v>0.15</v>
      </c>
      <c r="AH19">
        <v>2</v>
      </c>
      <c r="AI19">
        <v>59267787</v>
      </c>
      <c r="AJ19">
        <v>19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ROW(Source!A70)</f>
        <v>70</v>
      </c>
      <c r="B20">
        <v>59267788</v>
      </c>
      <c r="C20">
        <v>59267781</v>
      </c>
      <c r="D20">
        <v>30542165</v>
      </c>
      <c r="E20">
        <v>30515945</v>
      </c>
      <c r="F20">
        <v>1</v>
      </c>
      <c r="G20">
        <v>30515945</v>
      </c>
      <c r="H20">
        <v>3</v>
      </c>
      <c r="I20" t="s">
        <v>318</v>
      </c>
      <c r="J20" t="s">
        <v>3</v>
      </c>
      <c r="K20" t="s">
        <v>319</v>
      </c>
      <c r="L20">
        <v>1339</v>
      </c>
      <c r="N20">
        <v>1007</v>
      </c>
      <c r="O20" t="s">
        <v>135</v>
      </c>
      <c r="P20" t="s">
        <v>135</v>
      </c>
      <c r="Q20">
        <v>1</v>
      </c>
      <c r="X20">
        <v>1.1000000000000001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 t="s">
        <v>3</v>
      </c>
      <c r="AG20">
        <v>1.1000000000000001</v>
      </c>
      <c r="AH20">
        <v>2</v>
      </c>
      <c r="AI20">
        <v>59267788</v>
      </c>
      <c r="AJ20">
        <v>21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ROW(Source!A72)</f>
        <v>72</v>
      </c>
      <c r="B21">
        <v>59267863</v>
      </c>
      <c r="C21">
        <v>59267862</v>
      </c>
      <c r="D21">
        <v>30515951</v>
      </c>
      <c r="E21">
        <v>30515945</v>
      </c>
      <c r="F21">
        <v>1</v>
      </c>
      <c r="G21">
        <v>30515945</v>
      </c>
      <c r="H21">
        <v>1</v>
      </c>
      <c r="I21" t="s">
        <v>283</v>
      </c>
      <c r="J21" t="s">
        <v>3</v>
      </c>
      <c r="K21" t="s">
        <v>284</v>
      </c>
      <c r="L21">
        <v>1191</v>
      </c>
      <c r="N21">
        <v>1013</v>
      </c>
      <c r="O21" t="s">
        <v>285</v>
      </c>
      <c r="P21" t="s">
        <v>285</v>
      </c>
      <c r="Q21">
        <v>1</v>
      </c>
      <c r="X21">
        <v>0.85</v>
      </c>
      <c r="Y21">
        <v>0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1</v>
      </c>
      <c r="AF21" t="s">
        <v>3</v>
      </c>
      <c r="AG21">
        <v>0.85</v>
      </c>
      <c r="AH21">
        <v>2</v>
      </c>
      <c r="AI21">
        <v>59267863</v>
      </c>
      <c r="AJ21">
        <v>22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ROW(Source!A72)</f>
        <v>72</v>
      </c>
      <c r="B22">
        <v>59267864</v>
      </c>
      <c r="C22">
        <v>59267862</v>
      </c>
      <c r="D22">
        <v>30595692</v>
      </c>
      <c r="E22">
        <v>1</v>
      </c>
      <c r="F22">
        <v>1</v>
      </c>
      <c r="G22">
        <v>30515945</v>
      </c>
      <c r="H22">
        <v>2</v>
      </c>
      <c r="I22" t="s">
        <v>306</v>
      </c>
      <c r="J22" t="s">
        <v>307</v>
      </c>
      <c r="K22" t="s">
        <v>308</v>
      </c>
      <c r="L22">
        <v>1368</v>
      </c>
      <c r="N22">
        <v>1011</v>
      </c>
      <c r="O22" t="s">
        <v>289</v>
      </c>
      <c r="P22" t="s">
        <v>289</v>
      </c>
      <c r="Q22">
        <v>1</v>
      </c>
      <c r="X22">
        <v>0.2</v>
      </c>
      <c r="Y22">
        <v>0</v>
      </c>
      <c r="Z22">
        <v>33.35</v>
      </c>
      <c r="AA22">
        <v>12.67</v>
      </c>
      <c r="AB22">
        <v>0</v>
      </c>
      <c r="AC22">
        <v>0</v>
      </c>
      <c r="AD22">
        <v>1</v>
      </c>
      <c r="AE22">
        <v>0</v>
      </c>
      <c r="AF22" t="s">
        <v>3</v>
      </c>
      <c r="AG22">
        <v>0.2</v>
      </c>
      <c r="AH22">
        <v>2</v>
      </c>
      <c r="AI22">
        <v>59267864</v>
      </c>
      <c r="AJ22">
        <v>23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ROW(Source!A72)</f>
        <v>72</v>
      </c>
      <c r="B23">
        <v>59267865</v>
      </c>
      <c r="C23">
        <v>59267862</v>
      </c>
      <c r="D23">
        <v>30596103</v>
      </c>
      <c r="E23">
        <v>1</v>
      </c>
      <c r="F23">
        <v>1</v>
      </c>
      <c r="G23">
        <v>30515945</v>
      </c>
      <c r="H23">
        <v>2</v>
      </c>
      <c r="I23" t="s">
        <v>309</v>
      </c>
      <c r="J23" t="s">
        <v>310</v>
      </c>
      <c r="K23" t="s">
        <v>311</v>
      </c>
      <c r="L23">
        <v>1368</v>
      </c>
      <c r="N23">
        <v>1011</v>
      </c>
      <c r="O23" t="s">
        <v>289</v>
      </c>
      <c r="P23" t="s">
        <v>289</v>
      </c>
      <c r="Q23">
        <v>1</v>
      </c>
      <c r="X23">
        <v>0.4</v>
      </c>
      <c r="Y23">
        <v>0</v>
      </c>
      <c r="Z23">
        <v>0.21</v>
      </c>
      <c r="AA23">
        <v>0</v>
      </c>
      <c r="AB23">
        <v>0</v>
      </c>
      <c r="AC23">
        <v>0</v>
      </c>
      <c r="AD23">
        <v>1</v>
      </c>
      <c r="AE23">
        <v>0</v>
      </c>
      <c r="AF23" t="s">
        <v>3</v>
      </c>
      <c r="AG23">
        <v>0.4</v>
      </c>
      <c r="AH23">
        <v>2</v>
      </c>
      <c r="AI23">
        <v>59267865</v>
      </c>
      <c r="AJ23">
        <v>24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ROW(Source!A72)</f>
        <v>72</v>
      </c>
      <c r="B24">
        <v>59267866</v>
      </c>
      <c r="C24">
        <v>59267862</v>
      </c>
      <c r="D24">
        <v>30595410</v>
      </c>
      <c r="E24">
        <v>1</v>
      </c>
      <c r="F24">
        <v>1</v>
      </c>
      <c r="G24">
        <v>30515945</v>
      </c>
      <c r="H24">
        <v>2</v>
      </c>
      <c r="I24" t="s">
        <v>312</v>
      </c>
      <c r="J24" t="s">
        <v>313</v>
      </c>
      <c r="K24" t="s">
        <v>314</v>
      </c>
      <c r="L24">
        <v>1368</v>
      </c>
      <c r="N24">
        <v>1011</v>
      </c>
      <c r="O24" t="s">
        <v>289</v>
      </c>
      <c r="P24" t="s">
        <v>289</v>
      </c>
      <c r="Q24">
        <v>1</v>
      </c>
      <c r="X24">
        <v>7.0000000000000007E-2</v>
      </c>
      <c r="Y24">
        <v>0</v>
      </c>
      <c r="Z24">
        <v>130.5</v>
      </c>
      <c r="AA24">
        <v>14.91</v>
      </c>
      <c r="AB24">
        <v>0</v>
      </c>
      <c r="AC24">
        <v>0</v>
      </c>
      <c r="AD24">
        <v>1</v>
      </c>
      <c r="AE24">
        <v>0</v>
      </c>
      <c r="AF24" t="s">
        <v>3</v>
      </c>
      <c r="AG24">
        <v>7.0000000000000007E-2</v>
      </c>
      <c r="AH24">
        <v>2</v>
      </c>
      <c r="AI24">
        <v>59267866</v>
      </c>
      <c r="AJ24">
        <v>25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ROW(Source!A72)</f>
        <v>72</v>
      </c>
      <c r="B25">
        <v>59267867</v>
      </c>
      <c r="C25">
        <v>59267862</v>
      </c>
      <c r="D25">
        <v>30571181</v>
      </c>
      <c r="E25">
        <v>1</v>
      </c>
      <c r="F25">
        <v>1</v>
      </c>
      <c r="G25">
        <v>30515945</v>
      </c>
      <c r="H25">
        <v>3</v>
      </c>
      <c r="I25" t="s">
        <v>315</v>
      </c>
      <c r="J25" t="s">
        <v>316</v>
      </c>
      <c r="K25" t="s">
        <v>317</v>
      </c>
      <c r="L25">
        <v>1339</v>
      </c>
      <c r="N25">
        <v>1007</v>
      </c>
      <c r="O25" t="s">
        <v>135</v>
      </c>
      <c r="P25" t="s">
        <v>135</v>
      </c>
      <c r="Q25">
        <v>1</v>
      </c>
      <c r="X25">
        <v>0.15</v>
      </c>
      <c r="Y25">
        <v>7.07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0</v>
      </c>
      <c r="AF25" t="s">
        <v>3</v>
      </c>
      <c r="AG25">
        <v>0.15</v>
      </c>
      <c r="AH25">
        <v>2</v>
      </c>
      <c r="AI25">
        <v>59267867</v>
      </c>
      <c r="AJ25">
        <v>26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ROW(Source!A72)</f>
        <v>72</v>
      </c>
      <c r="B26">
        <v>59267868</v>
      </c>
      <c r="C26">
        <v>59267862</v>
      </c>
      <c r="D26">
        <v>30535859</v>
      </c>
      <c r="E26">
        <v>30515945</v>
      </c>
      <c r="F26">
        <v>1</v>
      </c>
      <c r="G26">
        <v>30515945</v>
      </c>
      <c r="H26">
        <v>3</v>
      </c>
      <c r="I26" t="s">
        <v>320</v>
      </c>
      <c r="J26" t="s">
        <v>3</v>
      </c>
      <c r="K26" t="s">
        <v>321</v>
      </c>
      <c r="L26">
        <v>1339</v>
      </c>
      <c r="N26">
        <v>1007</v>
      </c>
      <c r="O26" t="s">
        <v>135</v>
      </c>
      <c r="P26" t="s">
        <v>135</v>
      </c>
      <c r="Q26">
        <v>1</v>
      </c>
      <c r="X26">
        <v>1.1499999999999999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 t="s">
        <v>3</v>
      </c>
      <c r="AG26">
        <v>1.1499999999999999</v>
      </c>
      <c r="AH26">
        <v>2</v>
      </c>
      <c r="AI26">
        <v>59267868</v>
      </c>
      <c r="AJ26">
        <v>28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ROW(Source!A74)</f>
        <v>74</v>
      </c>
      <c r="B27">
        <v>59268058</v>
      </c>
      <c r="C27">
        <v>59268053</v>
      </c>
      <c r="D27">
        <v>30515951</v>
      </c>
      <c r="E27">
        <v>30515945</v>
      </c>
      <c r="F27">
        <v>1</v>
      </c>
      <c r="G27">
        <v>30515945</v>
      </c>
      <c r="H27">
        <v>1</v>
      </c>
      <c r="I27" t="s">
        <v>283</v>
      </c>
      <c r="J27" t="s">
        <v>3</v>
      </c>
      <c r="K27" t="s">
        <v>284</v>
      </c>
      <c r="L27">
        <v>1191</v>
      </c>
      <c r="N27">
        <v>1013</v>
      </c>
      <c r="O27" t="s">
        <v>285</v>
      </c>
      <c r="P27" t="s">
        <v>285</v>
      </c>
      <c r="Q27">
        <v>1</v>
      </c>
      <c r="X27">
        <v>82.5</v>
      </c>
      <c r="Y27">
        <v>0</v>
      </c>
      <c r="Z27">
        <v>0</v>
      </c>
      <c r="AA27">
        <v>0</v>
      </c>
      <c r="AB27">
        <v>0</v>
      </c>
      <c r="AC27">
        <v>0</v>
      </c>
      <c r="AD27">
        <v>1</v>
      </c>
      <c r="AE27">
        <v>1</v>
      </c>
      <c r="AF27" t="s">
        <v>3</v>
      </c>
      <c r="AG27">
        <v>82.5</v>
      </c>
      <c r="AH27">
        <v>2</v>
      </c>
      <c r="AI27">
        <v>59268054</v>
      </c>
      <c r="AJ27">
        <v>29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ROW(Source!A74)</f>
        <v>74</v>
      </c>
      <c r="B28">
        <v>59268059</v>
      </c>
      <c r="C28">
        <v>59268053</v>
      </c>
      <c r="D28">
        <v>30596074</v>
      </c>
      <c r="E28">
        <v>1</v>
      </c>
      <c r="F28">
        <v>1</v>
      </c>
      <c r="G28">
        <v>30515945</v>
      </c>
      <c r="H28">
        <v>2</v>
      </c>
      <c r="I28" t="s">
        <v>286</v>
      </c>
      <c r="J28" t="s">
        <v>287</v>
      </c>
      <c r="K28" t="s">
        <v>288</v>
      </c>
      <c r="L28">
        <v>1368</v>
      </c>
      <c r="N28">
        <v>1011</v>
      </c>
      <c r="O28" t="s">
        <v>289</v>
      </c>
      <c r="P28" t="s">
        <v>289</v>
      </c>
      <c r="Q28">
        <v>1</v>
      </c>
      <c r="X28">
        <v>3.78</v>
      </c>
      <c r="Y28">
        <v>0</v>
      </c>
      <c r="Z28">
        <v>76.81</v>
      </c>
      <c r="AA28">
        <v>14.36</v>
      </c>
      <c r="AB28">
        <v>0</v>
      </c>
      <c r="AC28">
        <v>0</v>
      </c>
      <c r="AD28">
        <v>1</v>
      </c>
      <c r="AE28">
        <v>0</v>
      </c>
      <c r="AF28" t="s">
        <v>3</v>
      </c>
      <c r="AG28">
        <v>3.78</v>
      </c>
      <c r="AH28">
        <v>2</v>
      </c>
      <c r="AI28">
        <v>59268055</v>
      </c>
      <c r="AJ28">
        <v>30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ROW(Source!A74)</f>
        <v>74</v>
      </c>
      <c r="B29">
        <v>59268060</v>
      </c>
      <c r="C29">
        <v>59268053</v>
      </c>
      <c r="D29">
        <v>55357527</v>
      </c>
      <c r="E29">
        <v>1</v>
      </c>
      <c r="F29">
        <v>1</v>
      </c>
      <c r="G29">
        <v>30515945</v>
      </c>
      <c r="H29">
        <v>2</v>
      </c>
      <c r="I29" t="s">
        <v>290</v>
      </c>
      <c r="J29" t="s">
        <v>291</v>
      </c>
      <c r="K29" t="s">
        <v>292</v>
      </c>
      <c r="L29">
        <v>1368</v>
      </c>
      <c r="N29">
        <v>1011</v>
      </c>
      <c r="O29" t="s">
        <v>289</v>
      </c>
      <c r="P29" t="s">
        <v>289</v>
      </c>
      <c r="Q29">
        <v>1</v>
      </c>
      <c r="X29">
        <v>2.2200000000000002</v>
      </c>
      <c r="Y29">
        <v>0</v>
      </c>
      <c r="Z29">
        <v>165.53</v>
      </c>
      <c r="AA29">
        <v>15.11</v>
      </c>
      <c r="AB29">
        <v>0</v>
      </c>
      <c r="AC29">
        <v>0</v>
      </c>
      <c r="AD29">
        <v>1</v>
      </c>
      <c r="AE29">
        <v>0</v>
      </c>
      <c r="AF29" t="s">
        <v>3</v>
      </c>
      <c r="AG29">
        <v>2.2200000000000002</v>
      </c>
      <c r="AH29">
        <v>2</v>
      </c>
      <c r="AI29">
        <v>59268056</v>
      </c>
      <c r="AJ29">
        <v>31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ROW(Source!A74)</f>
        <v>74</v>
      </c>
      <c r="B30">
        <v>59268061</v>
      </c>
      <c r="C30">
        <v>59268053</v>
      </c>
      <c r="D30">
        <v>30532717</v>
      </c>
      <c r="E30">
        <v>30515945</v>
      </c>
      <c r="F30">
        <v>1</v>
      </c>
      <c r="G30">
        <v>30515945</v>
      </c>
      <c r="H30">
        <v>3</v>
      </c>
      <c r="I30" t="s">
        <v>293</v>
      </c>
      <c r="J30" t="s">
        <v>3</v>
      </c>
      <c r="K30" t="s">
        <v>294</v>
      </c>
      <c r="L30">
        <v>1354</v>
      </c>
      <c r="N30">
        <v>1010</v>
      </c>
      <c r="O30" t="s">
        <v>208</v>
      </c>
      <c r="P30" t="s">
        <v>208</v>
      </c>
      <c r="Q30">
        <v>1</v>
      </c>
      <c r="X30">
        <v>100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 t="s">
        <v>3</v>
      </c>
      <c r="AG30">
        <v>100</v>
      </c>
      <c r="AH30">
        <v>2</v>
      </c>
      <c r="AI30">
        <v>59268057</v>
      </c>
      <c r="AJ30">
        <v>33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ROW(Source!A76)</f>
        <v>76</v>
      </c>
      <c r="B31">
        <v>59271578</v>
      </c>
      <c r="C31">
        <v>59271566</v>
      </c>
      <c r="D31">
        <v>30515951</v>
      </c>
      <c r="E31">
        <v>30515945</v>
      </c>
      <c r="F31">
        <v>1</v>
      </c>
      <c r="G31">
        <v>30515945</v>
      </c>
      <c r="H31">
        <v>1</v>
      </c>
      <c r="I31" t="s">
        <v>283</v>
      </c>
      <c r="J31" t="s">
        <v>3</v>
      </c>
      <c r="K31" t="s">
        <v>284</v>
      </c>
      <c r="L31">
        <v>1191</v>
      </c>
      <c r="N31">
        <v>1013</v>
      </c>
      <c r="O31" t="s">
        <v>285</v>
      </c>
      <c r="P31" t="s">
        <v>285</v>
      </c>
      <c r="Q31">
        <v>1</v>
      </c>
      <c r="X31">
        <v>42.7</v>
      </c>
      <c r="Y31">
        <v>0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1</v>
      </c>
      <c r="AF31" t="s">
        <v>3</v>
      </c>
      <c r="AG31">
        <v>42.7</v>
      </c>
      <c r="AH31">
        <v>2</v>
      </c>
      <c r="AI31">
        <v>59271567</v>
      </c>
      <c r="AJ31">
        <v>34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ROW(Source!A76)</f>
        <v>76</v>
      </c>
      <c r="B32">
        <v>59271579</v>
      </c>
      <c r="C32">
        <v>59271566</v>
      </c>
      <c r="D32">
        <v>30595787</v>
      </c>
      <c r="E32">
        <v>1</v>
      </c>
      <c r="F32">
        <v>1</v>
      </c>
      <c r="G32">
        <v>30515945</v>
      </c>
      <c r="H32">
        <v>2</v>
      </c>
      <c r="I32" t="s">
        <v>295</v>
      </c>
      <c r="J32" t="s">
        <v>296</v>
      </c>
      <c r="K32" t="s">
        <v>297</v>
      </c>
      <c r="L32">
        <v>1368</v>
      </c>
      <c r="N32">
        <v>1011</v>
      </c>
      <c r="O32" t="s">
        <v>289</v>
      </c>
      <c r="P32" t="s">
        <v>289</v>
      </c>
      <c r="Q32">
        <v>1</v>
      </c>
      <c r="X32">
        <v>18.32</v>
      </c>
      <c r="Y32">
        <v>0</v>
      </c>
      <c r="Z32">
        <v>4.8600000000000003</v>
      </c>
      <c r="AA32">
        <v>0</v>
      </c>
      <c r="AB32">
        <v>0</v>
      </c>
      <c r="AC32">
        <v>0</v>
      </c>
      <c r="AD32">
        <v>1</v>
      </c>
      <c r="AE32">
        <v>0</v>
      </c>
      <c r="AF32" t="s">
        <v>3</v>
      </c>
      <c r="AG32">
        <v>18.32</v>
      </c>
      <c r="AH32">
        <v>2</v>
      </c>
      <c r="AI32">
        <v>59271568</v>
      </c>
      <c r="AJ32">
        <v>35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ROW(Source!A76)</f>
        <v>76</v>
      </c>
      <c r="B33">
        <v>59271580</v>
      </c>
      <c r="C33">
        <v>59271566</v>
      </c>
      <c r="D33">
        <v>30596074</v>
      </c>
      <c r="E33">
        <v>1</v>
      </c>
      <c r="F33">
        <v>1</v>
      </c>
      <c r="G33">
        <v>30515945</v>
      </c>
      <c r="H33">
        <v>2</v>
      </c>
      <c r="I33" t="s">
        <v>286</v>
      </c>
      <c r="J33" t="s">
        <v>287</v>
      </c>
      <c r="K33" t="s">
        <v>288</v>
      </c>
      <c r="L33">
        <v>1368</v>
      </c>
      <c r="N33">
        <v>1011</v>
      </c>
      <c r="O33" t="s">
        <v>289</v>
      </c>
      <c r="P33" t="s">
        <v>289</v>
      </c>
      <c r="Q33">
        <v>1</v>
      </c>
      <c r="X33">
        <v>0.94</v>
      </c>
      <c r="Y33">
        <v>0</v>
      </c>
      <c r="Z33">
        <v>76.81</v>
      </c>
      <c r="AA33">
        <v>14.36</v>
      </c>
      <c r="AB33">
        <v>0</v>
      </c>
      <c r="AC33">
        <v>0</v>
      </c>
      <c r="AD33">
        <v>1</v>
      </c>
      <c r="AE33">
        <v>0</v>
      </c>
      <c r="AF33" t="s">
        <v>3</v>
      </c>
      <c r="AG33">
        <v>0.94</v>
      </c>
      <c r="AH33">
        <v>2</v>
      </c>
      <c r="AI33">
        <v>59271569</v>
      </c>
      <c r="AJ33">
        <v>36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ROW(Source!A76)</f>
        <v>76</v>
      </c>
      <c r="B34">
        <v>59271581</v>
      </c>
      <c r="C34">
        <v>59271566</v>
      </c>
      <c r="D34">
        <v>30572493</v>
      </c>
      <c r="E34">
        <v>1</v>
      </c>
      <c r="F34">
        <v>1</v>
      </c>
      <c r="G34">
        <v>30515945</v>
      </c>
      <c r="H34">
        <v>3</v>
      </c>
      <c r="I34" t="s">
        <v>298</v>
      </c>
      <c r="J34" t="s">
        <v>299</v>
      </c>
      <c r="K34" t="s">
        <v>300</v>
      </c>
      <c r="L34">
        <v>1348</v>
      </c>
      <c r="N34">
        <v>1009</v>
      </c>
      <c r="O34" t="s">
        <v>64</v>
      </c>
      <c r="P34" t="s">
        <v>64</v>
      </c>
      <c r="Q34">
        <v>1000</v>
      </c>
      <c r="X34">
        <v>0.04</v>
      </c>
      <c r="Y34">
        <v>7191.81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0</v>
      </c>
      <c r="AF34" t="s">
        <v>3</v>
      </c>
      <c r="AG34">
        <v>0.04</v>
      </c>
      <c r="AH34">
        <v>2</v>
      </c>
      <c r="AI34">
        <v>59271570</v>
      </c>
      <c r="AJ34">
        <v>38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ROW(Source!A76)</f>
        <v>76</v>
      </c>
      <c r="B35">
        <v>59271582</v>
      </c>
      <c r="C35">
        <v>59271566</v>
      </c>
      <c r="D35">
        <v>30542328</v>
      </c>
      <c r="E35">
        <v>30515945</v>
      </c>
      <c r="F35">
        <v>1</v>
      </c>
      <c r="G35">
        <v>30515945</v>
      </c>
      <c r="H35">
        <v>3</v>
      </c>
      <c r="I35" t="s">
        <v>301</v>
      </c>
      <c r="J35" t="s">
        <v>3</v>
      </c>
      <c r="K35" t="s">
        <v>302</v>
      </c>
      <c r="L35">
        <v>1348</v>
      </c>
      <c r="N35">
        <v>1009</v>
      </c>
      <c r="O35" t="s">
        <v>64</v>
      </c>
      <c r="P35" t="s">
        <v>64</v>
      </c>
      <c r="Q35">
        <v>1000</v>
      </c>
      <c r="X35">
        <v>1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 t="s">
        <v>3</v>
      </c>
      <c r="AG35">
        <v>1</v>
      </c>
      <c r="AH35">
        <v>2</v>
      </c>
      <c r="AI35">
        <v>59271571</v>
      </c>
      <c r="AJ35">
        <v>39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ROW(Source!A78)</f>
        <v>78</v>
      </c>
      <c r="B36">
        <v>59272176</v>
      </c>
      <c r="C36">
        <v>59272175</v>
      </c>
      <c r="D36">
        <v>30515951</v>
      </c>
      <c r="E36">
        <v>30515945</v>
      </c>
      <c r="F36">
        <v>1</v>
      </c>
      <c r="G36">
        <v>30515945</v>
      </c>
      <c r="H36">
        <v>1</v>
      </c>
      <c r="I36" t="s">
        <v>283</v>
      </c>
      <c r="J36" t="s">
        <v>3</v>
      </c>
      <c r="K36" t="s">
        <v>284</v>
      </c>
      <c r="L36">
        <v>1191</v>
      </c>
      <c r="N36">
        <v>1013</v>
      </c>
      <c r="O36" t="s">
        <v>285</v>
      </c>
      <c r="P36" t="s">
        <v>285</v>
      </c>
      <c r="Q36">
        <v>1</v>
      </c>
      <c r="X36">
        <v>7.02</v>
      </c>
      <c r="Y36">
        <v>0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1</v>
      </c>
      <c r="AF36" t="s">
        <v>3</v>
      </c>
      <c r="AG36">
        <v>7.02</v>
      </c>
      <c r="AH36">
        <v>2</v>
      </c>
      <c r="AI36">
        <v>59272176</v>
      </c>
      <c r="AJ36">
        <v>40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ROW(Source!A78)</f>
        <v>78</v>
      </c>
      <c r="B37">
        <v>59272177</v>
      </c>
      <c r="C37">
        <v>59272175</v>
      </c>
      <c r="D37">
        <v>30595538</v>
      </c>
      <c r="E37">
        <v>1</v>
      </c>
      <c r="F37">
        <v>1</v>
      </c>
      <c r="G37">
        <v>30515945</v>
      </c>
      <c r="H37">
        <v>2</v>
      </c>
      <c r="I37" t="s">
        <v>322</v>
      </c>
      <c r="J37" t="s">
        <v>323</v>
      </c>
      <c r="K37" t="s">
        <v>324</v>
      </c>
      <c r="L37">
        <v>1368</v>
      </c>
      <c r="N37">
        <v>1011</v>
      </c>
      <c r="O37" t="s">
        <v>289</v>
      </c>
      <c r="P37" t="s">
        <v>289</v>
      </c>
      <c r="Q37">
        <v>1</v>
      </c>
      <c r="X37">
        <v>1.27</v>
      </c>
      <c r="Y37">
        <v>0</v>
      </c>
      <c r="Z37">
        <v>21.87</v>
      </c>
      <c r="AA37">
        <v>0.03</v>
      </c>
      <c r="AB37">
        <v>0</v>
      </c>
      <c r="AC37">
        <v>0</v>
      </c>
      <c r="AD37">
        <v>1</v>
      </c>
      <c r="AE37">
        <v>0</v>
      </c>
      <c r="AF37" t="s">
        <v>3</v>
      </c>
      <c r="AG37">
        <v>1.27</v>
      </c>
      <c r="AH37">
        <v>2</v>
      </c>
      <c r="AI37">
        <v>59272177</v>
      </c>
      <c r="AJ37">
        <v>41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ROW(Source!A78)</f>
        <v>78</v>
      </c>
      <c r="B38">
        <v>59272178</v>
      </c>
      <c r="C38">
        <v>59272175</v>
      </c>
      <c r="D38">
        <v>30571117</v>
      </c>
      <c r="E38">
        <v>1</v>
      </c>
      <c r="F38">
        <v>1</v>
      </c>
      <c r="G38">
        <v>30515945</v>
      </c>
      <c r="H38">
        <v>3</v>
      </c>
      <c r="I38" t="s">
        <v>325</v>
      </c>
      <c r="J38" t="s">
        <v>326</v>
      </c>
      <c r="K38" t="s">
        <v>327</v>
      </c>
      <c r="L38">
        <v>1348</v>
      </c>
      <c r="N38">
        <v>1009</v>
      </c>
      <c r="O38" t="s">
        <v>64</v>
      </c>
      <c r="P38" t="s">
        <v>64</v>
      </c>
      <c r="Q38">
        <v>1000</v>
      </c>
      <c r="X38">
        <v>0.08</v>
      </c>
      <c r="Y38">
        <v>1729.27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0</v>
      </c>
      <c r="AF38" t="s">
        <v>3</v>
      </c>
      <c r="AG38">
        <v>0.08</v>
      </c>
      <c r="AH38">
        <v>2</v>
      </c>
      <c r="AI38">
        <v>59272178</v>
      </c>
      <c r="AJ38">
        <v>42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ROW(Source!A78)</f>
        <v>78</v>
      </c>
      <c r="B39">
        <v>59272179</v>
      </c>
      <c r="C39">
        <v>59272175</v>
      </c>
      <c r="D39">
        <v>30571626</v>
      </c>
      <c r="E39">
        <v>1</v>
      </c>
      <c r="F39">
        <v>1</v>
      </c>
      <c r="G39">
        <v>30515945</v>
      </c>
      <c r="H39">
        <v>3</v>
      </c>
      <c r="I39" t="s">
        <v>328</v>
      </c>
      <c r="J39" t="s">
        <v>329</v>
      </c>
      <c r="K39" t="s">
        <v>330</v>
      </c>
      <c r="L39">
        <v>1348</v>
      </c>
      <c r="N39">
        <v>1009</v>
      </c>
      <c r="O39" t="s">
        <v>64</v>
      </c>
      <c r="P39" t="s">
        <v>64</v>
      </c>
      <c r="Q39">
        <v>1000</v>
      </c>
      <c r="X39">
        <v>1.4999999999999999E-2</v>
      </c>
      <c r="Y39">
        <v>34457.589999999997</v>
      </c>
      <c r="Z39">
        <v>0</v>
      </c>
      <c r="AA39">
        <v>0</v>
      </c>
      <c r="AB39">
        <v>0</v>
      </c>
      <c r="AC39">
        <v>0</v>
      </c>
      <c r="AD39">
        <v>1</v>
      </c>
      <c r="AE39">
        <v>0</v>
      </c>
      <c r="AF39" t="s">
        <v>3</v>
      </c>
      <c r="AG39">
        <v>1.4999999999999999E-2</v>
      </c>
      <c r="AH39">
        <v>2</v>
      </c>
      <c r="AI39">
        <v>59272179</v>
      </c>
      <c r="AJ39">
        <v>43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ROW(Source!A80)</f>
        <v>80</v>
      </c>
      <c r="B40">
        <v>59272130</v>
      </c>
      <c r="C40">
        <v>59272129</v>
      </c>
      <c r="D40">
        <v>30515951</v>
      </c>
      <c r="E40">
        <v>30515945</v>
      </c>
      <c r="F40">
        <v>1</v>
      </c>
      <c r="G40">
        <v>30515945</v>
      </c>
      <c r="H40">
        <v>1</v>
      </c>
      <c r="I40" t="s">
        <v>283</v>
      </c>
      <c r="J40" t="s">
        <v>3</v>
      </c>
      <c r="K40" t="s">
        <v>284</v>
      </c>
      <c r="L40">
        <v>1191</v>
      </c>
      <c r="N40">
        <v>1013</v>
      </c>
      <c r="O40" t="s">
        <v>285</v>
      </c>
      <c r="P40" t="s">
        <v>285</v>
      </c>
      <c r="Q40">
        <v>1</v>
      </c>
      <c r="X40">
        <v>38.1</v>
      </c>
      <c r="Y40">
        <v>0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1</v>
      </c>
      <c r="AF40" t="s">
        <v>3</v>
      </c>
      <c r="AG40">
        <v>38.1</v>
      </c>
      <c r="AH40">
        <v>2</v>
      </c>
      <c r="AI40">
        <v>59272130</v>
      </c>
      <c r="AJ40">
        <v>44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ROW(Source!A81)</f>
        <v>81</v>
      </c>
      <c r="B41">
        <v>59272134</v>
      </c>
      <c r="C41">
        <v>59272131</v>
      </c>
      <c r="D41">
        <v>30515951</v>
      </c>
      <c r="E41">
        <v>30515945</v>
      </c>
      <c r="F41">
        <v>1</v>
      </c>
      <c r="G41">
        <v>30515945</v>
      </c>
      <c r="H41">
        <v>1</v>
      </c>
      <c r="I41" t="s">
        <v>283</v>
      </c>
      <c r="J41" t="s">
        <v>3</v>
      </c>
      <c r="K41" t="s">
        <v>284</v>
      </c>
      <c r="L41">
        <v>1191</v>
      </c>
      <c r="N41">
        <v>1013</v>
      </c>
      <c r="O41" t="s">
        <v>285</v>
      </c>
      <c r="P41" t="s">
        <v>285</v>
      </c>
      <c r="Q41">
        <v>1</v>
      </c>
      <c r="X41">
        <v>27.6</v>
      </c>
      <c r="Y41">
        <v>0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1</v>
      </c>
      <c r="AF41" t="s">
        <v>3</v>
      </c>
      <c r="AG41">
        <v>27.6</v>
      </c>
      <c r="AH41">
        <v>2</v>
      </c>
      <c r="AI41">
        <v>59272132</v>
      </c>
      <c r="AJ41">
        <v>45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ROW(Source!A83)</f>
        <v>83</v>
      </c>
      <c r="B42">
        <v>59272221</v>
      </c>
      <c r="C42">
        <v>59272220</v>
      </c>
      <c r="D42">
        <v>30515951</v>
      </c>
      <c r="E42">
        <v>30515945</v>
      </c>
      <c r="F42">
        <v>1</v>
      </c>
      <c r="G42">
        <v>30515945</v>
      </c>
      <c r="H42">
        <v>1</v>
      </c>
      <c r="I42" t="s">
        <v>283</v>
      </c>
      <c r="J42" t="s">
        <v>3</v>
      </c>
      <c r="K42" t="s">
        <v>284</v>
      </c>
      <c r="L42">
        <v>1191</v>
      </c>
      <c r="N42">
        <v>1013</v>
      </c>
      <c r="O42" t="s">
        <v>285</v>
      </c>
      <c r="P42" t="s">
        <v>285</v>
      </c>
      <c r="Q42">
        <v>1</v>
      </c>
      <c r="X42">
        <v>192.7</v>
      </c>
      <c r="Y42">
        <v>0</v>
      </c>
      <c r="Z42">
        <v>0</v>
      </c>
      <c r="AA42">
        <v>0</v>
      </c>
      <c r="AB42">
        <v>0</v>
      </c>
      <c r="AC42">
        <v>0</v>
      </c>
      <c r="AD42">
        <v>1</v>
      </c>
      <c r="AE42">
        <v>1</v>
      </c>
      <c r="AF42" t="s">
        <v>3</v>
      </c>
      <c r="AG42">
        <v>192.7</v>
      </c>
      <c r="AH42">
        <v>2</v>
      </c>
      <c r="AI42">
        <v>59272221</v>
      </c>
      <c r="AJ42">
        <v>46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ROW(Source!A84)</f>
        <v>84</v>
      </c>
      <c r="B43">
        <v>59272225</v>
      </c>
      <c r="C43">
        <v>59272224</v>
      </c>
      <c r="D43">
        <v>30515951</v>
      </c>
      <c r="E43">
        <v>30515945</v>
      </c>
      <c r="F43">
        <v>1</v>
      </c>
      <c r="G43">
        <v>30515945</v>
      </c>
      <c r="H43">
        <v>1</v>
      </c>
      <c r="I43" t="s">
        <v>283</v>
      </c>
      <c r="J43" t="s">
        <v>3</v>
      </c>
      <c r="K43" t="s">
        <v>284</v>
      </c>
      <c r="L43">
        <v>1191</v>
      </c>
      <c r="N43">
        <v>1013</v>
      </c>
      <c r="O43" t="s">
        <v>285</v>
      </c>
      <c r="P43" t="s">
        <v>285</v>
      </c>
      <c r="Q43">
        <v>1</v>
      </c>
      <c r="X43">
        <v>107.04</v>
      </c>
      <c r="Y43">
        <v>0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1</v>
      </c>
      <c r="AF43" t="s">
        <v>3</v>
      </c>
      <c r="AG43">
        <v>107.04</v>
      </c>
      <c r="AH43">
        <v>2</v>
      </c>
      <c r="AI43">
        <v>59272225</v>
      </c>
      <c r="AJ43">
        <v>47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ROW(Source!A85)</f>
        <v>85</v>
      </c>
      <c r="B44">
        <v>59272233</v>
      </c>
      <c r="C44">
        <v>59272232</v>
      </c>
      <c r="D44">
        <v>30515951</v>
      </c>
      <c r="E44">
        <v>30515945</v>
      </c>
      <c r="F44">
        <v>1</v>
      </c>
      <c r="G44">
        <v>30515945</v>
      </c>
      <c r="H44">
        <v>1</v>
      </c>
      <c r="I44" t="s">
        <v>283</v>
      </c>
      <c r="J44" t="s">
        <v>3</v>
      </c>
      <c r="K44" t="s">
        <v>284</v>
      </c>
      <c r="L44">
        <v>1191</v>
      </c>
      <c r="N44">
        <v>1013</v>
      </c>
      <c r="O44" t="s">
        <v>285</v>
      </c>
      <c r="P44" t="s">
        <v>285</v>
      </c>
      <c r="Q44">
        <v>1</v>
      </c>
      <c r="X44">
        <v>10.3</v>
      </c>
      <c r="Y44">
        <v>0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1</v>
      </c>
      <c r="AF44" t="s">
        <v>3</v>
      </c>
      <c r="AG44">
        <v>10.3</v>
      </c>
      <c r="AH44">
        <v>2</v>
      </c>
      <c r="AI44">
        <v>59272233</v>
      </c>
      <c r="AJ44">
        <v>48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ROW(Source!A87)</f>
        <v>87</v>
      </c>
      <c r="B45">
        <v>59272403</v>
      </c>
      <c r="C45">
        <v>59272402</v>
      </c>
      <c r="D45">
        <v>30515951</v>
      </c>
      <c r="E45">
        <v>30515945</v>
      </c>
      <c r="F45">
        <v>1</v>
      </c>
      <c r="G45">
        <v>30515945</v>
      </c>
      <c r="H45">
        <v>1</v>
      </c>
      <c r="I45" t="s">
        <v>283</v>
      </c>
      <c r="J45" t="s">
        <v>3</v>
      </c>
      <c r="K45" t="s">
        <v>284</v>
      </c>
      <c r="L45">
        <v>1191</v>
      </c>
      <c r="N45">
        <v>1013</v>
      </c>
      <c r="O45" t="s">
        <v>285</v>
      </c>
      <c r="P45" t="s">
        <v>285</v>
      </c>
      <c r="Q45">
        <v>1</v>
      </c>
      <c r="X45">
        <v>14.4</v>
      </c>
      <c r="Y45">
        <v>0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1</v>
      </c>
      <c r="AF45" t="s">
        <v>3</v>
      </c>
      <c r="AG45">
        <v>14.4</v>
      </c>
      <c r="AH45">
        <v>2</v>
      </c>
      <c r="AI45">
        <v>59272403</v>
      </c>
      <c r="AJ45">
        <v>50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ROW(Source!A89)</f>
        <v>89</v>
      </c>
      <c r="B46">
        <v>59272399</v>
      </c>
      <c r="C46">
        <v>59272398</v>
      </c>
      <c r="D46">
        <v>30515951</v>
      </c>
      <c r="E46">
        <v>30515945</v>
      </c>
      <c r="F46">
        <v>1</v>
      </c>
      <c r="G46">
        <v>30515945</v>
      </c>
      <c r="H46">
        <v>1</v>
      </c>
      <c r="I46" t="s">
        <v>283</v>
      </c>
      <c r="J46" t="s">
        <v>3</v>
      </c>
      <c r="K46" t="s">
        <v>284</v>
      </c>
      <c r="L46">
        <v>1191</v>
      </c>
      <c r="N46">
        <v>1013</v>
      </c>
      <c r="O46" t="s">
        <v>285</v>
      </c>
      <c r="P46" t="s">
        <v>285</v>
      </c>
      <c r="Q46">
        <v>1</v>
      </c>
      <c r="X46">
        <v>18.5</v>
      </c>
      <c r="Y46">
        <v>0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1</v>
      </c>
      <c r="AF46" t="s">
        <v>3</v>
      </c>
      <c r="AG46">
        <v>18.5</v>
      </c>
      <c r="AH46">
        <v>2</v>
      </c>
      <c r="AI46">
        <v>59272399</v>
      </c>
      <c r="AJ46">
        <v>52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ROW(Source!A163)</f>
        <v>163</v>
      </c>
      <c r="B47">
        <v>59272954</v>
      </c>
      <c r="C47">
        <v>59272953</v>
      </c>
      <c r="D47">
        <v>30515951</v>
      </c>
      <c r="E47">
        <v>30515945</v>
      </c>
      <c r="F47">
        <v>1</v>
      </c>
      <c r="G47">
        <v>30515945</v>
      </c>
      <c r="H47">
        <v>1</v>
      </c>
      <c r="I47" t="s">
        <v>283</v>
      </c>
      <c r="J47" t="s">
        <v>3</v>
      </c>
      <c r="K47" t="s">
        <v>284</v>
      </c>
      <c r="L47">
        <v>1191</v>
      </c>
      <c r="N47">
        <v>1013</v>
      </c>
      <c r="O47" t="s">
        <v>285</v>
      </c>
      <c r="P47" t="s">
        <v>285</v>
      </c>
      <c r="Q47">
        <v>1</v>
      </c>
      <c r="X47">
        <v>11</v>
      </c>
      <c r="Y47">
        <v>0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1</v>
      </c>
      <c r="AF47" t="s">
        <v>3</v>
      </c>
      <c r="AG47">
        <v>11</v>
      </c>
      <c r="AH47">
        <v>2</v>
      </c>
      <c r="AI47">
        <v>59272954</v>
      </c>
      <c r="AJ47">
        <v>54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ROW(Source!A164)</f>
        <v>164</v>
      </c>
      <c r="B48">
        <v>59272956</v>
      </c>
      <c r="C48">
        <v>59272955</v>
      </c>
      <c r="D48">
        <v>30515951</v>
      </c>
      <c r="E48">
        <v>30515945</v>
      </c>
      <c r="F48">
        <v>1</v>
      </c>
      <c r="G48">
        <v>30515945</v>
      </c>
      <c r="H48">
        <v>1</v>
      </c>
      <c r="I48" t="s">
        <v>283</v>
      </c>
      <c r="J48" t="s">
        <v>3</v>
      </c>
      <c r="K48" t="s">
        <v>284</v>
      </c>
      <c r="L48">
        <v>1191</v>
      </c>
      <c r="N48">
        <v>1013</v>
      </c>
      <c r="O48" t="s">
        <v>285</v>
      </c>
      <c r="P48" t="s">
        <v>285</v>
      </c>
      <c r="Q48">
        <v>1</v>
      </c>
      <c r="X48">
        <v>1.3</v>
      </c>
      <c r="Y48">
        <v>0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1</v>
      </c>
      <c r="AF48" t="s">
        <v>3</v>
      </c>
      <c r="AG48">
        <v>1.3</v>
      </c>
      <c r="AH48">
        <v>2</v>
      </c>
      <c r="AI48">
        <v>59272956</v>
      </c>
      <c r="AJ48">
        <v>55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ROW(Source!A165)</f>
        <v>165</v>
      </c>
      <c r="B49">
        <v>59272958</v>
      </c>
      <c r="C49">
        <v>59272957</v>
      </c>
      <c r="D49">
        <v>30515951</v>
      </c>
      <c r="E49">
        <v>30515945</v>
      </c>
      <c r="F49">
        <v>1</v>
      </c>
      <c r="G49">
        <v>30515945</v>
      </c>
      <c r="H49">
        <v>1</v>
      </c>
      <c r="I49" t="s">
        <v>283</v>
      </c>
      <c r="J49" t="s">
        <v>3</v>
      </c>
      <c r="K49" t="s">
        <v>284</v>
      </c>
      <c r="L49">
        <v>1191</v>
      </c>
      <c r="N49">
        <v>1013</v>
      </c>
      <c r="O49" t="s">
        <v>285</v>
      </c>
      <c r="P49" t="s">
        <v>285</v>
      </c>
      <c r="Q49">
        <v>1</v>
      </c>
      <c r="X49">
        <v>4.5</v>
      </c>
      <c r="Y49">
        <v>0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1</v>
      </c>
      <c r="AF49" t="s">
        <v>3</v>
      </c>
      <c r="AG49">
        <v>4.5</v>
      </c>
      <c r="AH49">
        <v>2</v>
      </c>
      <c r="AI49">
        <v>59272958</v>
      </c>
      <c r="AJ49">
        <v>56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ROW(Source!A166)</f>
        <v>166</v>
      </c>
      <c r="B50">
        <v>59272960</v>
      </c>
      <c r="C50">
        <v>59272959</v>
      </c>
      <c r="D50">
        <v>30515951</v>
      </c>
      <c r="E50">
        <v>30515945</v>
      </c>
      <c r="F50">
        <v>1</v>
      </c>
      <c r="G50">
        <v>30515945</v>
      </c>
      <c r="H50">
        <v>1</v>
      </c>
      <c r="I50" t="s">
        <v>283</v>
      </c>
      <c r="J50" t="s">
        <v>3</v>
      </c>
      <c r="K50" t="s">
        <v>284</v>
      </c>
      <c r="L50">
        <v>1191</v>
      </c>
      <c r="N50">
        <v>1013</v>
      </c>
      <c r="O50" t="s">
        <v>285</v>
      </c>
      <c r="P50" t="s">
        <v>285</v>
      </c>
      <c r="Q50">
        <v>1</v>
      </c>
      <c r="X50">
        <v>6.3</v>
      </c>
      <c r="Y50">
        <v>0</v>
      </c>
      <c r="Z50">
        <v>0</v>
      </c>
      <c r="AA50">
        <v>0</v>
      </c>
      <c r="AB50">
        <v>0</v>
      </c>
      <c r="AC50">
        <v>0</v>
      </c>
      <c r="AD50">
        <v>1</v>
      </c>
      <c r="AE50">
        <v>1</v>
      </c>
      <c r="AF50" t="s">
        <v>3</v>
      </c>
      <c r="AG50">
        <v>6.3</v>
      </c>
      <c r="AH50">
        <v>2</v>
      </c>
      <c r="AI50">
        <v>59272960</v>
      </c>
      <c r="AJ50">
        <v>57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ROW(Source!A167)</f>
        <v>167</v>
      </c>
      <c r="B51">
        <v>59272962</v>
      </c>
      <c r="C51">
        <v>59272961</v>
      </c>
      <c r="D51">
        <v>30515951</v>
      </c>
      <c r="E51">
        <v>30515945</v>
      </c>
      <c r="F51">
        <v>1</v>
      </c>
      <c r="G51">
        <v>30515945</v>
      </c>
      <c r="H51">
        <v>1</v>
      </c>
      <c r="I51" t="s">
        <v>283</v>
      </c>
      <c r="J51" t="s">
        <v>3</v>
      </c>
      <c r="K51" t="s">
        <v>284</v>
      </c>
      <c r="L51">
        <v>1191</v>
      </c>
      <c r="N51">
        <v>1013</v>
      </c>
      <c r="O51" t="s">
        <v>285</v>
      </c>
      <c r="P51" t="s">
        <v>285</v>
      </c>
      <c r="Q51">
        <v>1</v>
      </c>
      <c r="X51">
        <v>7.2</v>
      </c>
      <c r="Y51">
        <v>0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1</v>
      </c>
      <c r="AF51" t="s">
        <v>3</v>
      </c>
      <c r="AG51">
        <v>7.2</v>
      </c>
      <c r="AH51">
        <v>2</v>
      </c>
      <c r="AI51">
        <v>59272962</v>
      </c>
      <c r="AJ51">
        <v>58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ROW(Source!A168)</f>
        <v>168</v>
      </c>
      <c r="B52">
        <v>59272964</v>
      </c>
      <c r="C52">
        <v>59272963</v>
      </c>
      <c r="D52">
        <v>30515951</v>
      </c>
      <c r="E52">
        <v>30515945</v>
      </c>
      <c r="F52">
        <v>1</v>
      </c>
      <c r="G52">
        <v>30515945</v>
      </c>
      <c r="H52">
        <v>1</v>
      </c>
      <c r="I52" t="s">
        <v>283</v>
      </c>
      <c r="J52" t="s">
        <v>3</v>
      </c>
      <c r="K52" t="s">
        <v>284</v>
      </c>
      <c r="L52">
        <v>1191</v>
      </c>
      <c r="N52">
        <v>1013</v>
      </c>
      <c r="O52" t="s">
        <v>285</v>
      </c>
      <c r="P52" t="s">
        <v>285</v>
      </c>
      <c r="Q52">
        <v>1</v>
      </c>
      <c r="X52">
        <v>10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1</v>
      </c>
      <c r="AE52">
        <v>1</v>
      </c>
      <c r="AF52" t="s">
        <v>3</v>
      </c>
      <c r="AG52">
        <v>10</v>
      </c>
      <c r="AH52">
        <v>2</v>
      </c>
      <c r="AI52">
        <v>59272964</v>
      </c>
      <c r="AJ52">
        <v>59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ROW(Source!A169)</f>
        <v>169</v>
      </c>
      <c r="B53">
        <v>59272966</v>
      </c>
      <c r="C53">
        <v>59272965</v>
      </c>
      <c r="D53">
        <v>30515951</v>
      </c>
      <c r="E53">
        <v>30515945</v>
      </c>
      <c r="F53">
        <v>1</v>
      </c>
      <c r="G53">
        <v>30515945</v>
      </c>
      <c r="H53">
        <v>1</v>
      </c>
      <c r="I53" t="s">
        <v>283</v>
      </c>
      <c r="J53" t="s">
        <v>3</v>
      </c>
      <c r="K53" t="s">
        <v>284</v>
      </c>
      <c r="L53">
        <v>1191</v>
      </c>
      <c r="N53">
        <v>1013</v>
      </c>
      <c r="O53" t="s">
        <v>285</v>
      </c>
      <c r="P53" t="s">
        <v>285</v>
      </c>
      <c r="Q53">
        <v>1</v>
      </c>
      <c r="X53">
        <v>2.7</v>
      </c>
      <c r="Y53">
        <v>0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1</v>
      </c>
      <c r="AF53" t="s">
        <v>3</v>
      </c>
      <c r="AG53">
        <v>2.7</v>
      </c>
      <c r="AH53">
        <v>2</v>
      </c>
      <c r="AI53">
        <v>59272966</v>
      </c>
      <c r="AJ53">
        <v>60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ROW(Source!A170)</f>
        <v>170</v>
      </c>
      <c r="B54">
        <v>59272970</v>
      </c>
      <c r="C54">
        <v>59272969</v>
      </c>
      <c r="D54">
        <v>30515951</v>
      </c>
      <c r="E54">
        <v>30515945</v>
      </c>
      <c r="F54">
        <v>1</v>
      </c>
      <c r="G54">
        <v>30515945</v>
      </c>
      <c r="H54">
        <v>1</v>
      </c>
      <c r="I54" t="s">
        <v>283</v>
      </c>
      <c r="J54" t="s">
        <v>3</v>
      </c>
      <c r="K54" t="s">
        <v>284</v>
      </c>
      <c r="L54">
        <v>1191</v>
      </c>
      <c r="N54">
        <v>1013</v>
      </c>
      <c r="O54" t="s">
        <v>285</v>
      </c>
      <c r="P54" t="s">
        <v>285</v>
      </c>
      <c r="Q54">
        <v>1</v>
      </c>
      <c r="X54">
        <v>22</v>
      </c>
      <c r="Y54">
        <v>0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1</v>
      </c>
      <c r="AF54" t="s">
        <v>3</v>
      </c>
      <c r="AG54">
        <v>22</v>
      </c>
      <c r="AH54">
        <v>2</v>
      </c>
      <c r="AI54">
        <v>59272970</v>
      </c>
      <c r="AJ54">
        <v>61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ROW(Source!A171)</f>
        <v>171</v>
      </c>
      <c r="B55">
        <v>59272990</v>
      </c>
      <c r="C55">
        <v>59272989</v>
      </c>
      <c r="D55">
        <v>30515951</v>
      </c>
      <c r="E55">
        <v>30515945</v>
      </c>
      <c r="F55">
        <v>1</v>
      </c>
      <c r="G55">
        <v>30515945</v>
      </c>
      <c r="H55">
        <v>1</v>
      </c>
      <c r="I55" t="s">
        <v>283</v>
      </c>
      <c r="J55" t="s">
        <v>3</v>
      </c>
      <c r="K55" t="s">
        <v>284</v>
      </c>
      <c r="L55">
        <v>1191</v>
      </c>
      <c r="N55">
        <v>1013</v>
      </c>
      <c r="O55" t="s">
        <v>285</v>
      </c>
      <c r="P55" t="s">
        <v>285</v>
      </c>
      <c r="Q55">
        <v>1</v>
      </c>
      <c r="X55">
        <v>8.1</v>
      </c>
      <c r="Y55">
        <v>0</v>
      </c>
      <c r="Z55">
        <v>0</v>
      </c>
      <c r="AA55">
        <v>0</v>
      </c>
      <c r="AB55">
        <v>0</v>
      </c>
      <c r="AC55">
        <v>0</v>
      </c>
      <c r="AD55">
        <v>1</v>
      </c>
      <c r="AE55">
        <v>1</v>
      </c>
      <c r="AF55" t="s">
        <v>3</v>
      </c>
      <c r="AG55">
        <v>8.1</v>
      </c>
      <c r="AH55">
        <v>2</v>
      </c>
      <c r="AI55">
        <v>59272990</v>
      </c>
      <c r="AJ55">
        <v>62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ROW(Source!A172)</f>
        <v>172</v>
      </c>
      <c r="B56">
        <v>59273006</v>
      </c>
      <c r="C56">
        <v>59273005</v>
      </c>
      <c r="D56">
        <v>30515951</v>
      </c>
      <c r="E56">
        <v>30515945</v>
      </c>
      <c r="F56">
        <v>1</v>
      </c>
      <c r="G56">
        <v>30515945</v>
      </c>
      <c r="H56">
        <v>1</v>
      </c>
      <c r="I56" t="s">
        <v>283</v>
      </c>
      <c r="J56" t="s">
        <v>3</v>
      </c>
      <c r="K56" t="s">
        <v>284</v>
      </c>
      <c r="L56">
        <v>1191</v>
      </c>
      <c r="N56">
        <v>1013</v>
      </c>
      <c r="O56" t="s">
        <v>285</v>
      </c>
      <c r="P56" t="s">
        <v>285</v>
      </c>
      <c r="Q56">
        <v>1</v>
      </c>
      <c r="X56">
        <v>4.5</v>
      </c>
      <c r="Y56">
        <v>0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1</v>
      </c>
      <c r="AF56" t="s">
        <v>3</v>
      </c>
      <c r="AG56">
        <v>4.5</v>
      </c>
      <c r="AH56">
        <v>2</v>
      </c>
      <c r="AI56">
        <v>59273006</v>
      </c>
      <c r="AJ56">
        <v>63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ROW(Source!A173)</f>
        <v>173</v>
      </c>
      <c r="B57">
        <v>59273652</v>
      </c>
      <c r="C57">
        <v>59273651</v>
      </c>
      <c r="D57">
        <v>30515951</v>
      </c>
      <c r="E57">
        <v>30515945</v>
      </c>
      <c r="F57">
        <v>1</v>
      </c>
      <c r="G57">
        <v>30515945</v>
      </c>
      <c r="H57">
        <v>1</v>
      </c>
      <c r="I57" t="s">
        <v>283</v>
      </c>
      <c r="J57" t="s">
        <v>3</v>
      </c>
      <c r="K57" t="s">
        <v>284</v>
      </c>
      <c r="L57">
        <v>1191</v>
      </c>
      <c r="N57">
        <v>1013</v>
      </c>
      <c r="O57" t="s">
        <v>285</v>
      </c>
      <c r="P57" t="s">
        <v>285</v>
      </c>
      <c r="Q57">
        <v>1</v>
      </c>
      <c r="X57">
        <v>57</v>
      </c>
      <c r="Y57">
        <v>0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1</v>
      </c>
      <c r="AF57" t="s">
        <v>3</v>
      </c>
      <c r="AG57">
        <v>57</v>
      </c>
      <c r="AH57">
        <v>2</v>
      </c>
      <c r="AI57">
        <v>59273652</v>
      </c>
      <c r="AJ57">
        <v>64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ROW(Source!A174)</f>
        <v>174</v>
      </c>
      <c r="B58">
        <v>59273659</v>
      </c>
      <c r="C58">
        <v>59273658</v>
      </c>
      <c r="D58">
        <v>30515951</v>
      </c>
      <c r="E58">
        <v>30515945</v>
      </c>
      <c r="F58">
        <v>1</v>
      </c>
      <c r="G58">
        <v>30515945</v>
      </c>
      <c r="H58">
        <v>1</v>
      </c>
      <c r="I58" t="s">
        <v>283</v>
      </c>
      <c r="J58" t="s">
        <v>3</v>
      </c>
      <c r="K58" t="s">
        <v>284</v>
      </c>
      <c r="L58">
        <v>1191</v>
      </c>
      <c r="N58">
        <v>1013</v>
      </c>
      <c r="O58" t="s">
        <v>285</v>
      </c>
      <c r="P58" t="s">
        <v>285</v>
      </c>
      <c r="Q58">
        <v>1</v>
      </c>
      <c r="X58">
        <v>1.8</v>
      </c>
      <c r="Y58">
        <v>0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1</v>
      </c>
      <c r="AF58" t="s">
        <v>3</v>
      </c>
      <c r="AG58">
        <v>1.8</v>
      </c>
      <c r="AH58">
        <v>2</v>
      </c>
      <c r="AI58">
        <v>59273659</v>
      </c>
      <c r="AJ58">
        <v>65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ROW(Source!A175)</f>
        <v>175</v>
      </c>
      <c r="B59">
        <v>59273662</v>
      </c>
      <c r="C59">
        <v>59273661</v>
      </c>
      <c r="D59">
        <v>30515951</v>
      </c>
      <c r="E59">
        <v>30515945</v>
      </c>
      <c r="F59">
        <v>1</v>
      </c>
      <c r="G59">
        <v>30515945</v>
      </c>
      <c r="H59">
        <v>1</v>
      </c>
      <c r="I59" t="s">
        <v>283</v>
      </c>
      <c r="J59" t="s">
        <v>3</v>
      </c>
      <c r="K59" t="s">
        <v>284</v>
      </c>
      <c r="L59">
        <v>1191</v>
      </c>
      <c r="N59">
        <v>1013</v>
      </c>
      <c r="O59" t="s">
        <v>285</v>
      </c>
      <c r="P59" t="s">
        <v>285</v>
      </c>
      <c r="Q59">
        <v>1</v>
      </c>
      <c r="X59">
        <v>0.15</v>
      </c>
      <c r="Y59">
        <v>0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1</v>
      </c>
      <c r="AF59" t="s">
        <v>3</v>
      </c>
      <c r="AG59">
        <v>0.15</v>
      </c>
      <c r="AH59">
        <v>2</v>
      </c>
      <c r="AI59">
        <v>59273662</v>
      </c>
      <c r="AJ59">
        <v>66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Смета по ТСН-2001</vt:lpstr>
      <vt:lpstr>Source</vt:lpstr>
      <vt:lpstr>SourceObSm</vt:lpstr>
      <vt:lpstr>SmtRes</vt:lpstr>
      <vt:lpstr>EtalonRes</vt:lpstr>
      <vt:lpstr>SrcKA</vt:lpstr>
      <vt:lpstr>'Смета по ТСН-2001'!Заголовки_для_печати</vt:lpstr>
      <vt:lpstr>'Смета по ТСН-2001'!Область_печати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ALEXANDR</cp:lastModifiedBy>
  <dcterms:created xsi:type="dcterms:W3CDTF">2023-03-12T08:33:17Z</dcterms:created>
  <dcterms:modified xsi:type="dcterms:W3CDTF">2023-06-14T13:45:40Z</dcterms:modified>
</cp:coreProperties>
</file>